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60" yWindow="870" windowWidth="13710" windowHeight="11655" tabRatio="698" firstSheet="1" activeTab="7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<sst xmlns="http://schemas.openxmlformats.org/spreadsheetml/2006/main" count="832" uniqueCount="66">
  <si>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</si>
  <si>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</si>
  <si>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</si>
  <si>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</si>
  <si>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</si>
  <si>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</si>
  <si>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</si>
  <si>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</si>
  <si>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</si>
  <si>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</si>
  <si>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</si>
  <si>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</si>
  <si>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</si>
  <si>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</si>
  <si>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</si>
  <si>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</si>
  <si>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</si>
  <si>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</si>
  <si>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</si>
  <si>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</si>
  <si>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</si>
  <si>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</si>
  <si>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</si>
  <si>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</si>
  <si>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</si>
  <si>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</si>
  <si>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</si>
  <si>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</si>
  <si>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</si>
  <si>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</si>
  <si>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</si>
  <si>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</si>
  <si>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</si>
  <si>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</si>
  <si>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</si>
  <si>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</si>
  <si>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</si>
  <si>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</si>
  <si>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</si>
  <si>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</si>
  <si>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</si>
  <si>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</si>
  <si>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</si>
  <si>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</si>
  <si>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</si>
  <si>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</si>
  <si>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</si>
  <si>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</si>
  <si>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</si>
  <si>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</si>
  <si>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</si>
  <si>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</si>
  <si>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2019 р.</t>
  </si>
  <si>
    <t>по міському бюджету м.Черкаси у ЛЮТОМУ 2019 р.</t>
  </si>
  <si>
    <t>надійшло доходів/план видатків
 на лютий</t>
  </si>
  <si>
    <t>по міському бюджету м.Черкаси у БЕРЕЗНІ 2019 р.</t>
  </si>
  <si>
    <t>надійшло доходів/план видатків
 на березень</t>
  </si>
  <si>
    <t>надійшло доходів/план видатків
 на квітень</t>
  </si>
  <si>
    <t>Субвенція обласному та державному бюджетам</t>
  </si>
  <si>
    <t>по міському бюджету м.Черкаси у КВІТНІ 2019 р.</t>
  </si>
  <si>
    <t>по міському бюджету м.Черкаси у ТРАВНІ 2019 р.</t>
  </si>
  <si>
    <t>надійшло доходів/план видатків
 на травень</t>
  </si>
  <si>
    <t>по міському бюджету м.Черкаси у ЧЕРВНІ 2019 р.</t>
  </si>
  <si>
    <t>надійшло доходів/план видатків
 на червень</t>
  </si>
  <si>
    <t>по міському бюджету м.Черкаси у ЛИПНІ 2019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</si>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</sst>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2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200" fontId="21" fillId="33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 vertical="center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/>
    </xf>
    <xf numFmtId="200" fontId="1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196" fontId="10" fillId="33" borderId="10" xfId="0" applyNumberFormat="1" applyFont="1" applyFill="1" applyBorder="1" applyAlignment="1">
      <alignment horizontal="right"/>
    </xf>
    <xf numFmtId="200" fontId="10" fillId="33" borderId="10" xfId="0" applyNumberFormat="1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/>
    </xf>
    <xf numFmtId="0" fontId="2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right" vertical="center"/>
    </xf>
    <xf numFmtId="0" fontId="10" fillId="33" borderId="10" xfId="0" applyFont="1" applyFill="1" applyBorder="1" applyAlignment="1">
      <alignment horizontal="left" vertical="center" wrapText="1"/>
    </xf>
    <xf numFmtId="196" fontId="0" fillId="33" borderId="0" xfId="0" applyNumberFormat="1" applyFont="1" applyFill="1" applyAlignment="1">
      <alignment/>
    </xf>
    <xf numFmtId="196" fontId="0" fillId="33" borderId="0" xfId="0" applyNumberFormat="1" applyFill="1" applyAlignment="1">
      <alignment horizontal="right" vertical="center"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10" fillId="33" borderId="0" xfId="0" applyNumberFormat="1" applyFont="1" applyFill="1" applyBorder="1" applyAlignment="1">
      <alignment horizontal="center" vertic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0" fillId="34" borderId="0" xfId="0" applyNumberFormat="1" applyFill="1" applyAlignment="1">
      <alignment/>
    </xf>
    <xf numFmtId="196" fontId="10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wrapText="1"/>
    </xf>
    <xf numFmtId="196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196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196" fontId="10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horizontal="left" wrapText="1" indent="1"/>
    </xf>
    <xf numFmtId="196" fontId="0" fillId="34" borderId="0" xfId="0" applyNumberFormat="1" applyFont="1" applyFill="1" applyAlignment="1">
      <alignment/>
    </xf>
    <xf numFmtId="196" fontId="9" fillId="34" borderId="0" xfId="0" applyNumberFormat="1" applyFont="1" applyFill="1" applyAlignment="1">
      <alignment/>
    </xf>
    <xf numFmtId="0" fontId="3" fillId="34" borderId="0" xfId="0" applyFont="1" applyFill="1" applyAlignment="1">
      <alignment horizontal="right"/>
    </xf>
    <xf numFmtId="0" fontId="14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96" fontId="2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 wrapText="1"/>
    </xf>
    <xf numFmtId="196" fontId="10" fillId="34" borderId="10" xfId="0" applyNumberFormat="1" applyFont="1" applyFill="1" applyBorder="1" applyAlignment="1">
      <alignment horizontal="center" vertical="center"/>
    </xf>
    <xf numFmtId="196" fontId="4" fillId="34" borderId="10" xfId="0" applyNumberFormat="1" applyFont="1" applyFill="1" applyBorder="1" applyAlignment="1">
      <alignment horizontal="center" vertical="center" wrapText="1"/>
    </xf>
    <xf numFmtId="196" fontId="2" fillId="34" borderId="10" xfId="0" applyNumberFormat="1" applyFont="1" applyFill="1" applyBorder="1" applyAlignment="1">
      <alignment horizontal="center"/>
    </xf>
    <xf numFmtId="196" fontId="10" fillId="34" borderId="0" xfId="0" applyNumberFormat="1" applyFont="1" applyFill="1" applyBorder="1" applyAlignment="1">
      <alignment horizontal="center" vertical="center"/>
    </xf>
    <xf numFmtId="196" fontId="10" fillId="34" borderId="0" xfId="0" applyNumberFormat="1" applyFont="1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200" fontId="0" fillId="34" borderId="10" xfId="0" applyNumberFormat="1" applyFill="1" applyBorder="1" applyAlignment="1">
      <alignment/>
    </xf>
    <xf numFmtId="200" fontId="10" fillId="34" borderId="10" xfId="0" applyNumberFormat="1" applyFont="1" applyFill="1" applyBorder="1" applyAlignment="1">
      <alignment horizontal="center"/>
    </xf>
    <xf numFmtId="200" fontId="10" fillId="34" borderId="10" xfId="0" applyNumberFormat="1" applyFont="1" applyFill="1" applyBorder="1" applyAlignment="1">
      <alignment horizontal="center" shrinkToFit="1"/>
    </xf>
    <xf numFmtId="200" fontId="13" fillId="34" borderId="10" xfId="0" applyNumberFormat="1" applyFont="1" applyFill="1" applyBorder="1" applyAlignment="1">
      <alignment horizontal="center" shrinkToFit="1"/>
    </xf>
    <xf numFmtId="200" fontId="10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horizontal="center"/>
    </xf>
    <xf numFmtId="196" fontId="2" fillId="34" borderId="10" xfId="0" applyNumberFormat="1" applyFont="1" applyFill="1" applyBorder="1" applyAlignment="1">
      <alignment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vertical="center"/>
    </xf>
    <xf numFmtId="196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/>
    </xf>
    <xf numFmtId="196" fontId="2" fillId="34" borderId="10" xfId="0" applyNumberFormat="1" applyFont="1" applyFill="1" applyBorder="1" applyAlignment="1">
      <alignment/>
    </xf>
    <xf numFmtId="200" fontId="2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6" fontId="1" fillId="34" borderId="0" xfId="0" applyNumberFormat="1" applyFont="1" applyFill="1" applyAlignment="1">
      <alignment/>
    </xf>
    <xf numFmtId="200" fontId="1" fillId="34" borderId="0" xfId="0" applyNumberFormat="1" applyFont="1" applyFill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5" fillId="33" borderId="0" xfId="0" applyFont="1" applyFill="1" applyBorder="1" applyAlignment="1">
      <alignment horizontal="center"/>
    </xf>
    <xf numFmtId="0" fontId="15" fillId="34" borderId="0" xfId="0" applyFont="1" applyFill="1" applyAlignment="1">
      <alignment horizontal="center"/>
    </xf>
    <xf numFmtId="0" fontId="15" fillId="34" borderId="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8</v>
      </c>
      <c r="H4" s="8">
        <v>9</v>
      </c>
      <c r="I4" s="8">
        <v>10</v>
      </c>
      <c r="J4" s="19">
        <v>11</v>
      </c>
      <c r="K4" s="8">
        <v>14</v>
      </c>
      <c r="L4" s="8">
        <v>15</v>
      </c>
      <c r="M4" s="19">
        <v>16</v>
      </c>
      <c r="N4" s="8">
        <v>17</v>
      </c>
      <c r="O4" s="8">
        <v>18</v>
      </c>
      <c r="P4" s="8">
        <v>21</v>
      </c>
      <c r="Q4" s="8">
        <v>22</v>
      </c>
      <c r="R4" s="8">
        <v>23</v>
      </c>
      <c r="S4" s="19">
        <v>24</v>
      </c>
      <c r="T4" s="19">
        <v>25</v>
      </c>
      <c r="U4" s="8">
        <v>28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40057.6</v>
      </c>
      <c r="C7" s="86">
        <v>901.1</v>
      </c>
      <c r="D7" s="37">
        <v>20028.8</v>
      </c>
      <c r="E7" s="38"/>
      <c r="F7" s="38"/>
      <c r="G7" s="38"/>
      <c r="H7" s="56"/>
      <c r="I7" s="38"/>
      <c r="J7" s="39"/>
      <c r="K7" s="38">
        <v>20028.8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1189.199999999997</v>
      </c>
      <c r="AF7" s="54"/>
      <c r="AG7" s="40"/>
    </row>
    <row r="8" spans="1:55" ht="18" customHeight="1">
      <c r="A8" s="47" t="s">
        <v>30</v>
      </c>
      <c r="B8" s="33">
        <f>SUM(E8:AB8)</f>
        <v>129768.79999999999</v>
      </c>
      <c r="C8" s="87">
        <v>26357.9</v>
      </c>
      <c r="D8" s="59"/>
      <c r="E8" s="60"/>
      <c r="F8" s="61">
        <v>4882.5</v>
      </c>
      <c r="G8" s="61">
        <v>15225.2</v>
      </c>
      <c r="H8" s="61">
        <v>5716.5</v>
      </c>
      <c r="I8" s="61">
        <v>7367.5</v>
      </c>
      <c r="J8" s="61">
        <v>3345</v>
      </c>
      <c r="K8" s="62">
        <v>2770.2</v>
      </c>
      <c r="L8" s="61">
        <v>4367.3</v>
      </c>
      <c r="M8" s="62">
        <v>7141.1</v>
      </c>
      <c r="N8" s="61">
        <v>7261.5</v>
      </c>
      <c r="O8" s="61">
        <v>4514.7</v>
      </c>
      <c r="P8" s="61">
        <v>10053.9</v>
      </c>
      <c r="Q8" s="61">
        <v>7543.8</v>
      </c>
      <c r="R8" s="61">
        <v>6898.7</v>
      </c>
      <c r="S8" s="63">
        <v>5306.8</v>
      </c>
      <c r="T8" s="63">
        <v>5386.2</v>
      </c>
      <c r="U8" s="61">
        <v>5894</v>
      </c>
      <c r="V8" s="61">
        <v>6479.3</v>
      </c>
      <c r="W8" s="61">
        <v>7145.2</v>
      </c>
      <c r="X8" s="62">
        <v>12469.4</v>
      </c>
      <c r="Y8" s="62"/>
      <c r="Z8" s="62"/>
      <c r="AA8" s="62"/>
      <c r="AB8" s="61"/>
      <c r="AC8" s="64"/>
      <c r="AD8" s="64"/>
      <c r="AE8" s="65">
        <f>SUM(E8:AD8)+C8-AF9+AF16+AF25</f>
        <v>81696.29999999997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162748.5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244</v>
      </c>
      <c r="H9" s="68">
        <f t="shared" si="0"/>
        <v>0</v>
      </c>
      <c r="I9" s="68">
        <f t="shared" si="0"/>
        <v>1930.7</v>
      </c>
      <c r="J9" s="68">
        <f t="shared" si="0"/>
        <v>2609.6</v>
      </c>
      <c r="K9" s="68">
        <f t="shared" si="0"/>
        <v>23429.700000000004</v>
      </c>
      <c r="L9" s="68">
        <f t="shared" si="0"/>
        <v>972.4000000000001</v>
      </c>
      <c r="M9" s="90">
        <f t="shared" si="0"/>
        <v>1482.9</v>
      </c>
      <c r="N9" s="68">
        <f t="shared" si="0"/>
        <v>9924.199999999999</v>
      </c>
      <c r="O9" s="68">
        <f t="shared" si="0"/>
        <v>2048.2</v>
      </c>
      <c r="P9" s="68">
        <f t="shared" si="0"/>
        <v>856.5</v>
      </c>
      <c r="Q9" s="68">
        <f t="shared" si="0"/>
        <v>1896.6000000000001</v>
      </c>
      <c r="R9" s="68">
        <f t="shared" si="0"/>
        <v>481.5</v>
      </c>
      <c r="S9" s="68">
        <f t="shared" si="0"/>
        <v>3099.3</v>
      </c>
      <c r="T9" s="68">
        <f t="shared" si="0"/>
        <v>708</v>
      </c>
      <c r="U9" s="68">
        <f t="shared" si="0"/>
        <v>6116.3</v>
      </c>
      <c r="V9" s="68">
        <f t="shared" si="0"/>
        <v>38816.00000000001</v>
      </c>
      <c r="W9" s="68">
        <f t="shared" si="0"/>
        <v>2627.9999999999995</v>
      </c>
      <c r="X9" s="68">
        <f t="shared" si="0"/>
        <v>16956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114199.90000000001</v>
      </c>
      <c r="AG9" s="69">
        <f>AG10+AG15+AG24+AG33+AG47+AG52+AG54+AG61+AG62+AG71+AG72+AG76+AG88+AG81+AG83+AG82+AG69+AG89+AG91+AG90+AG70+AG40+AG92</f>
        <v>48548.6</v>
      </c>
      <c r="AH9" s="41"/>
      <c r="AI9" s="41"/>
    </row>
    <row r="10" spans="1:33" ht="15.75">
      <c r="A10" s="4" t="s">
        <v>4</v>
      </c>
      <c r="B10" s="22">
        <v>17247.5</v>
      </c>
      <c r="C10" s="22"/>
      <c r="D10" s="67"/>
      <c r="E10" s="67"/>
      <c r="F10" s="67"/>
      <c r="G10" s="67">
        <v>244</v>
      </c>
      <c r="H10" s="67"/>
      <c r="I10" s="67">
        <v>43.9</v>
      </c>
      <c r="J10" s="70">
        <v>2457.4</v>
      </c>
      <c r="K10" s="67">
        <v>2707.4</v>
      </c>
      <c r="L10" s="67">
        <v>10.4</v>
      </c>
      <c r="M10" s="72">
        <v>33.4</v>
      </c>
      <c r="N10" s="67">
        <v>0.3</v>
      </c>
      <c r="O10" s="71">
        <v>26.7</v>
      </c>
      <c r="P10" s="67">
        <v>297</v>
      </c>
      <c r="Q10" s="67">
        <v>18</v>
      </c>
      <c r="R10" s="67">
        <v>13</v>
      </c>
      <c r="S10" s="72">
        <v>3</v>
      </c>
      <c r="T10" s="72">
        <v>6.2</v>
      </c>
      <c r="U10" s="72">
        <v>490.1</v>
      </c>
      <c r="V10" s="72">
        <v>6379.1</v>
      </c>
      <c r="W10" s="72">
        <v>2560.6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15290.500000000002</v>
      </c>
      <c r="AG10" s="72">
        <f>B10+C10-AF10</f>
        <v>1956.9999999999982</v>
      </c>
    </row>
    <row r="11" spans="1:33" ht="15.75">
      <c r="A11" s="3" t="s">
        <v>5</v>
      </c>
      <c r="B11" s="22">
        <v>16238</v>
      </c>
      <c r="C11" s="22"/>
      <c r="D11" s="67"/>
      <c r="E11" s="67"/>
      <c r="F11" s="67"/>
      <c r="G11" s="67">
        <v>244</v>
      </c>
      <c r="H11" s="67"/>
      <c r="I11" s="67"/>
      <c r="J11" s="72">
        <v>2447.7</v>
      </c>
      <c r="K11" s="67">
        <v>2707.4</v>
      </c>
      <c r="L11" s="67">
        <v>7.9</v>
      </c>
      <c r="M11" s="72">
        <v>32.8</v>
      </c>
      <c r="N11" s="67"/>
      <c r="O11" s="71"/>
      <c r="P11" s="67">
        <v>292</v>
      </c>
      <c r="Q11" s="67">
        <v>16</v>
      </c>
      <c r="R11" s="67">
        <v>4.4</v>
      </c>
      <c r="S11" s="72"/>
      <c r="T11" s="72"/>
      <c r="U11" s="72">
        <v>487.1</v>
      </c>
      <c r="V11" s="72">
        <v>6367.9</v>
      </c>
      <c r="W11" s="72">
        <v>2554.5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15161.7</v>
      </c>
      <c r="AG11" s="72">
        <f>B11+C11-AF11</f>
        <v>1076.2999999999993</v>
      </c>
    </row>
    <row r="12" spans="1:33" ht="15.75">
      <c r="A12" s="3" t="s">
        <v>2</v>
      </c>
      <c r="B12" s="29">
        <f>401.6+10.6</f>
        <v>412.20000000000005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412.20000000000005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597.3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43.9</v>
      </c>
      <c r="J14" s="67">
        <f t="shared" si="2"/>
        <v>9.700000000000273</v>
      </c>
      <c r="K14" s="67">
        <f t="shared" si="2"/>
        <v>0</v>
      </c>
      <c r="L14" s="67">
        <f t="shared" si="2"/>
        <v>2.5</v>
      </c>
      <c r="M14" s="72">
        <f t="shared" si="2"/>
        <v>0.6000000000000014</v>
      </c>
      <c r="N14" s="67">
        <f t="shared" si="2"/>
        <v>0.3</v>
      </c>
      <c r="O14" s="67">
        <f t="shared" si="2"/>
        <v>26.7</v>
      </c>
      <c r="P14" s="67">
        <f t="shared" si="2"/>
        <v>5</v>
      </c>
      <c r="Q14" s="67">
        <f t="shared" si="2"/>
        <v>2</v>
      </c>
      <c r="R14" s="67">
        <f t="shared" si="2"/>
        <v>8.6</v>
      </c>
      <c r="S14" s="67">
        <f t="shared" si="2"/>
        <v>3</v>
      </c>
      <c r="T14" s="67">
        <f t="shared" si="2"/>
        <v>6.2</v>
      </c>
      <c r="U14" s="67">
        <f t="shared" si="2"/>
        <v>3</v>
      </c>
      <c r="V14" s="67">
        <f t="shared" si="2"/>
        <v>11.200000000000728</v>
      </c>
      <c r="W14" s="67">
        <f t="shared" si="2"/>
        <v>6.099999999999909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128.80000000000092</v>
      </c>
      <c r="AG14" s="72">
        <f>AG10-AG11-AG12-AG13</f>
        <v>468.49999999999886</v>
      </c>
    </row>
    <row r="15" spans="1:33" ht="15" customHeight="1">
      <c r="A15" s="4" t="s">
        <v>6</v>
      </c>
      <c r="B15" s="22">
        <f>68805.8+1143.1</f>
        <v>69948.90000000001</v>
      </c>
      <c r="C15" s="22"/>
      <c r="D15" s="73"/>
      <c r="E15" s="73"/>
      <c r="F15" s="67"/>
      <c r="G15" s="67"/>
      <c r="H15" s="67"/>
      <c r="I15" s="67"/>
      <c r="J15" s="72"/>
      <c r="K15" s="67">
        <f>11099.2+9623.1</f>
        <v>20722.300000000003</v>
      </c>
      <c r="L15" s="67">
        <v>1.9</v>
      </c>
      <c r="M15" s="72"/>
      <c r="N15" s="67"/>
      <c r="O15" s="71">
        <v>134.7</v>
      </c>
      <c r="P15" s="67">
        <v>531.1</v>
      </c>
      <c r="Q15" s="71"/>
      <c r="R15" s="67">
        <v>44.4</v>
      </c>
      <c r="S15" s="72">
        <v>1464.8</v>
      </c>
      <c r="T15" s="72">
        <v>43.3</v>
      </c>
      <c r="U15" s="72">
        <v>356.7</v>
      </c>
      <c r="V15" s="72">
        <f>16648.5+1044.7</f>
        <v>17693.2</v>
      </c>
      <c r="W15" s="72">
        <v>22.2</v>
      </c>
      <c r="X15" s="67">
        <f>3005.5+12063.7</f>
        <v>15069.2</v>
      </c>
      <c r="Y15" s="72"/>
      <c r="Z15" s="72"/>
      <c r="AA15" s="72"/>
      <c r="AB15" s="67"/>
      <c r="AC15" s="67"/>
      <c r="AD15" s="67"/>
      <c r="AE15" s="67"/>
      <c r="AF15" s="71">
        <f t="shared" si="1"/>
        <v>56083.8</v>
      </c>
      <c r="AG15" s="72">
        <f aca="true" t="shared" si="3" ref="AG15:AG31">B15+C15-AF15</f>
        <v>13865.100000000006</v>
      </c>
    </row>
    <row r="16" spans="1:34" s="53" customFormat="1" ht="15" customHeight="1">
      <c r="A16" s="51" t="s">
        <v>38</v>
      </c>
      <c r="B16" s="52">
        <f>21876.5+1143.1</f>
        <v>23019.6</v>
      </c>
      <c r="C16" s="52"/>
      <c r="D16" s="74"/>
      <c r="E16" s="74"/>
      <c r="F16" s="75"/>
      <c r="G16" s="75"/>
      <c r="H16" s="75"/>
      <c r="I16" s="75"/>
      <c r="J16" s="76"/>
      <c r="K16" s="75">
        <v>9623.1</v>
      </c>
      <c r="L16" s="75"/>
      <c r="M16" s="76"/>
      <c r="N16" s="75"/>
      <c r="O16" s="77"/>
      <c r="P16" s="75"/>
      <c r="Q16" s="77"/>
      <c r="R16" s="75"/>
      <c r="S16" s="76"/>
      <c r="T16" s="76"/>
      <c r="U16" s="76"/>
      <c r="V16" s="76">
        <v>1044.7</v>
      </c>
      <c r="W16" s="76"/>
      <c r="X16" s="75">
        <v>12063.7</v>
      </c>
      <c r="Y16" s="76"/>
      <c r="Z16" s="76"/>
      <c r="AA16" s="76"/>
      <c r="AB16" s="75"/>
      <c r="AC16" s="75"/>
      <c r="AD16" s="75"/>
      <c r="AE16" s="75"/>
      <c r="AF16" s="78">
        <f t="shared" si="1"/>
        <v>22731.5</v>
      </c>
      <c r="AG16" s="88">
        <f t="shared" si="3"/>
        <v>288.09999999999854</v>
      </c>
      <c r="AH16" s="57"/>
    </row>
    <row r="17" spans="1:34" ht="15.75">
      <c r="A17" s="3" t="s">
        <v>5</v>
      </c>
      <c r="B17" s="22">
        <f>55274+1143.1+2.4</f>
        <v>56419.5</v>
      </c>
      <c r="C17" s="22"/>
      <c r="D17" s="67"/>
      <c r="E17" s="67"/>
      <c r="F17" s="67"/>
      <c r="G17" s="67"/>
      <c r="H17" s="67"/>
      <c r="I17" s="67"/>
      <c r="J17" s="72"/>
      <c r="K17" s="67">
        <f>20722.3</f>
        <v>20722.3</v>
      </c>
      <c r="L17" s="67">
        <v>1.9</v>
      </c>
      <c r="M17" s="72"/>
      <c r="N17" s="67"/>
      <c r="O17" s="71"/>
      <c r="P17" s="67"/>
      <c r="Q17" s="71"/>
      <c r="R17" s="67"/>
      <c r="S17" s="72"/>
      <c r="T17" s="72"/>
      <c r="U17" s="72"/>
      <c r="V17" s="72">
        <f>16592.9+1044.7</f>
        <v>17637.600000000002</v>
      </c>
      <c r="W17" s="72"/>
      <c r="X17" s="67">
        <v>15069.2</v>
      </c>
      <c r="Y17" s="72"/>
      <c r="Z17" s="72"/>
      <c r="AA17" s="72"/>
      <c r="AB17" s="67"/>
      <c r="AC17" s="67"/>
      <c r="AD17" s="67"/>
      <c r="AE17" s="67"/>
      <c r="AF17" s="71">
        <f t="shared" si="1"/>
        <v>53431</v>
      </c>
      <c r="AG17" s="72">
        <f t="shared" si="3"/>
        <v>2988.5</v>
      </c>
      <c r="AH17" s="6"/>
    </row>
    <row r="18" spans="1:33" ht="15.75" hidden="1">
      <c r="A18" s="3" t="s">
        <v>3</v>
      </c>
      <c r="B18" s="22"/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0</v>
      </c>
    </row>
    <row r="19" spans="1:33" ht="15.75">
      <c r="A19" s="3" t="s">
        <v>1</v>
      </c>
      <c r="B19" s="22">
        <v>4200.6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72"/>
      <c r="N19" s="67"/>
      <c r="O19" s="71"/>
      <c r="P19" s="67">
        <v>525.8</v>
      </c>
      <c r="Q19" s="71"/>
      <c r="R19" s="67">
        <v>44.4</v>
      </c>
      <c r="S19" s="72">
        <v>601.2</v>
      </c>
      <c r="T19" s="72">
        <v>43.3</v>
      </c>
      <c r="U19" s="72">
        <v>356.4</v>
      </c>
      <c r="V19" s="72">
        <v>55.6</v>
      </c>
      <c r="W19" s="72">
        <v>22.2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1648.8999999999999</v>
      </c>
      <c r="AG19" s="72">
        <f t="shared" si="3"/>
        <v>2551.7000000000007</v>
      </c>
    </row>
    <row r="20" spans="1:33" ht="15.75">
      <c r="A20" s="3" t="s">
        <v>2</v>
      </c>
      <c r="B20" s="22">
        <v>8061.6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72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8061.6</v>
      </c>
    </row>
    <row r="21" spans="1:33" ht="15.75">
      <c r="A21" s="3" t="s">
        <v>16</v>
      </c>
      <c r="B21" s="22">
        <v>1047.3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72"/>
      <c r="N21" s="67"/>
      <c r="O21" s="71">
        <v>134.7</v>
      </c>
      <c r="P21" s="67"/>
      <c r="Q21" s="71"/>
      <c r="R21" s="67"/>
      <c r="S21" s="72">
        <v>863.6</v>
      </c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998.3</v>
      </c>
      <c r="AG21" s="72">
        <f t="shared" si="3"/>
        <v>49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219.90000000000805</v>
      </c>
      <c r="C23" s="22">
        <f aca="true" t="shared" si="4" ref="C23:AD23">C15-C17-C18-C19-C20-C21-C22</f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3.637978807091713E-12</v>
      </c>
      <c r="L23" s="67">
        <f t="shared" si="4"/>
        <v>0</v>
      </c>
      <c r="M23" s="72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5.300000000000068</v>
      </c>
      <c r="Q23" s="67">
        <f t="shared" si="4"/>
        <v>0</v>
      </c>
      <c r="R23" s="67">
        <f t="shared" si="4"/>
        <v>0</v>
      </c>
      <c r="S23" s="67">
        <f t="shared" si="4"/>
        <v>-1.1368683772161603E-13</v>
      </c>
      <c r="T23" s="67">
        <f t="shared" si="4"/>
        <v>0</v>
      </c>
      <c r="U23" s="67">
        <f t="shared" si="4"/>
        <v>0.30000000000001137</v>
      </c>
      <c r="V23" s="67">
        <f t="shared" si="4"/>
        <v>-1.4566126083082054E-12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5.600000000002147</v>
      </c>
      <c r="AG23" s="72">
        <f t="shared" si="3"/>
        <v>214.3000000000059</v>
      </c>
    </row>
    <row r="24" spans="1:33" ht="15" customHeight="1">
      <c r="A24" s="4" t="s">
        <v>7</v>
      </c>
      <c r="B24" s="22">
        <f>33979.7-1938</f>
        <v>32041.699999999997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72"/>
      <c r="N24" s="67">
        <v>9880.4</v>
      </c>
      <c r="O24" s="71"/>
      <c r="P24" s="67"/>
      <c r="Q24" s="71"/>
      <c r="R24" s="71"/>
      <c r="S24" s="72"/>
      <c r="T24" s="72"/>
      <c r="U24" s="72">
        <v>236.6</v>
      </c>
      <c r="V24" s="72">
        <f>6978.3+6921</f>
        <v>13899.3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24016.3</v>
      </c>
      <c r="AG24" s="72">
        <f t="shared" si="3"/>
        <v>8025.399999999998</v>
      </c>
    </row>
    <row r="25" spans="1:34" s="53" customFormat="1" ht="15" customHeight="1">
      <c r="A25" s="51" t="s">
        <v>39</v>
      </c>
      <c r="B25" s="52">
        <f>18976-1938</f>
        <v>17038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6"/>
      <c r="N25" s="75">
        <v>9880.4</v>
      </c>
      <c r="O25" s="77"/>
      <c r="P25" s="75"/>
      <c r="Q25" s="77"/>
      <c r="R25" s="77"/>
      <c r="S25" s="76"/>
      <c r="T25" s="76"/>
      <c r="U25" s="76">
        <v>236.6</v>
      </c>
      <c r="V25" s="76">
        <v>6921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17038</v>
      </c>
      <c r="AG25" s="88">
        <f t="shared" si="3"/>
        <v>0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83.3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31958.399999999998</v>
      </c>
      <c r="C32" s="22">
        <f>C24-C26-C27-C28-C29-C30-C31</f>
        <v>0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0</v>
      </c>
      <c r="N32" s="67">
        <f t="shared" si="5"/>
        <v>9880.4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236.6</v>
      </c>
      <c r="V32" s="67">
        <f t="shared" si="5"/>
        <v>13899.3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24016.3</v>
      </c>
      <c r="AG32" s="72">
        <f>AG24-AG30</f>
        <v>7942.099999999998</v>
      </c>
    </row>
    <row r="33" spans="1:33" ht="15" customHeight="1">
      <c r="A33" s="4" t="s">
        <v>8</v>
      </c>
      <c r="B33" s="22">
        <v>746.8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72">
        <f>80.6</f>
        <v>80.6</v>
      </c>
      <c r="N33" s="67"/>
      <c r="O33" s="71"/>
      <c r="P33" s="67"/>
      <c r="Q33" s="71"/>
      <c r="R33" s="67"/>
      <c r="S33" s="72"/>
      <c r="T33" s="72"/>
      <c r="U33" s="72">
        <v>106</v>
      </c>
      <c r="V33" s="72">
        <v>88.7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275.3</v>
      </c>
      <c r="AG33" s="72">
        <f aca="true" t="shared" si="6" ref="AG33:AG38">B33+C33-AF33</f>
        <v>471.49999999999994</v>
      </c>
    </row>
    <row r="34" spans="1:33" ht="15.75">
      <c r="A34" s="3" t="s">
        <v>5</v>
      </c>
      <c r="B34" s="22">
        <v>310.2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72">
        <v>80.6</v>
      </c>
      <c r="N34" s="67"/>
      <c r="O34" s="67"/>
      <c r="P34" s="67"/>
      <c r="Q34" s="71"/>
      <c r="R34" s="67"/>
      <c r="S34" s="72"/>
      <c r="T34" s="72"/>
      <c r="U34" s="72">
        <v>106</v>
      </c>
      <c r="V34" s="72">
        <v>88.7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275.3</v>
      </c>
      <c r="AG34" s="72">
        <f t="shared" si="6"/>
        <v>34.89999999999998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114.1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114.1</v>
      </c>
    </row>
    <row r="37" spans="1:33" ht="15.75" hidden="1">
      <c r="A37" s="3" t="s">
        <v>16</v>
      </c>
      <c r="B37" s="22"/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322.5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322.5</v>
      </c>
    </row>
    <row r="40" spans="1:33" ht="15" customHeight="1">
      <c r="A40" s="4" t="s">
        <v>29</v>
      </c>
      <c r="B40" s="22">
        <v>1131.4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72">
        <v>346.4</v>
      </c>
      <c r="N40" s="67"/>
      <c r="O40" s="71"/>
      <c r="P40" s="67"/>
      <c r="Q40" s="71"/>
      <c r="R40" s="71"/>
      <c r="S40" s="72"/>
      <c r="T40" s="72"/>
      <c r="U40" s="72">
        <v>682.5</v>
      </c>
      <c r="V40" s="72"/>
      <c r="W40" s="72">
        <v>14.1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1043</v>
      </c>
      <c r="AG40" s="72">
        <f aca="true" t="shared" si="8" ref="AG40:AG45">B40+C40-AF40</f>
        <v>88.40000000000009</v>
      </c>
    </row>
    <row r="41" spans="1:34" ht="15.75">
      <c r="A41" s="3" t="s">
        <v>5</v>
      </c>
      <c r="B41" s="22">
        <v>985.4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72">
        <v>332.5</v>
      </c>
      <c r="N41" s="67"/>
      <c r="O41" s="71"/>
      <c r="P41" s="67"/>
      <c r="Q41" s="67"/>
      <c r="R41" s="67"/>
      <c r="S41" s="72"/>
      <c r="T41" s="72"/>
      <c r="U41" s="72">
        <v>633.1</v>
      </c>
      <c r="V41" s="72"/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979.7</v>
      </c>
      <c r="AG41" s="72">
        <f t="shared" si="8"/>
        <v>5.699999999999932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2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2">
        <f t="shared" si="8"/>
        <v>0</v>
      </c>
    </row>
    <row r="44" spans="1:33" ht="15.75">
      <c r="A44" s="3" t="s">
        <v>2</v>
      </c>
      <c r="B44" s="22">
        <v>135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72">
        <v>13.9</v>
      </c>
      <c r="N44" s="67"/>
      <c r="O44" s="71"/>
      <c r="P44" s="67"/>
      <c r="Q44" s="67"/>
      <c r="R44" s="67"/>
      <c r="S44" s="72"/>
      <c r="T44" s="72"/>
      <c r="U44" s="72">
        <v>43.7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57.6</v>
      </c>
      <c r="AG44" s="72">
        <f t="shared" si="8"/>
        <v>77.4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11.000000000000114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72">
        <f t="shared" si="10"/>
        <v>-2.3092638912203256E-14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5.699999999999974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5.699999999999951</v>
      </c>
      <c r="AG46" s="72">
        <f>AG40-AG41-AG42-AG43-AG44-AG45</f>
        <v>5.3000000000001535</v>
      </c>
    </row>
    <row r="47" spans="1:33" ht="17.25" customHeight="1">
      <c r="A47" s="4" t="s">
        <v>43</v>
      </c>
      <c r="B47" s="29">
        <v>4773.3</v>
      </c>
      <c r="C47" s="22"/>
      <c r="D47" s="67"/>
      <c r="E47" s="79"/>
      <c r="F47" s="79"/>
      <c r="G47" s="79"/>
      <c r="H47" s="79"/>
      <c r="I47" s="79"/>
      <c r="J47" s="80">
        <v>152.2</v>
      </c>
      <c r="K47" s="79"/>
      <c r="L47" s="79"/>
      <c r="M47" s="80"/>
      <c r="N47" s="79"/>
      <c r="O47" s="81"/>
      <c r="P47" s="79">
        <v>12.4</v>
      </c>
      <c r="Q47" s="79">
        <v>164.7</v>
      </c>
      <c r="R47" s="79">
        <v>14</v>
      </c>
      <c r="S47" s="80">
        <v>1585.4</v>
      </c>
      <c r="T47" s="80"/>
      <c r="U47" s="79"/>
      <c r="V47" s="79"/>
      <c r="W47" s="79">
        <v>13.1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1941.8</v>
      </c>
      <c r="AG47" s="72">
        <f>B47+C47-AF47</f>
        <v>2831.5</v>
      </c>
    </row>
    <row r="48" spans="1:33" ht="15.75" hidden="1">
      <c r="A48" s="3" t="s">
        <v>5</v>
      </c>
      <c r="B48" s="22"/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2">
        <f>B48+C48-AF48</f>
        <v>0</v>
      </c>
    </row>
    <row r="49" spans="1:33" ht="15.75">
      <c r="A49" s="3" t="s">
        <v>16</v>
      </c>
      <c r="B49" s="22">
        <v>4666.7</v>
      </c>
      <c r="C49" s="22"/>
      <c r="D49" s="67"/>
      <c r="E49" s="67"/>
      <c r="F49" s="67"/>
      <c r="G49" s="67"/>
      <c r="H49" s="67"/>
      <c r="I49" s="67"/>
      <c r="J49" s="72">
        <v>152.1</v>
      </c>
      <c r="K49" s="67"/>
      <c r="L49" s="67"/>
      <c r="M49" s="72"/>
      <c r="N49" s="67"/>
      <c r="O49" s="71"/>
      <c r="P49" s="67">
        <v>12.4</v>
      </c>
      <c r="Q49" s="67">
        <v>164.7</v>
      </c>
      <c r="R49" s="67">
        <v>14</v>
      </c>
      <c r="S49" s="72">
        <v>1585.4</v>
      </c>
      <c r="T49" s="72"/>
      <c r="U49" s="67"/>
      <c r="V49" s="67"/>
      <c r="W49" s="67">
        <v>8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1936.6000000000001</v>
      </c>
      <c r="AG49" s="72">
        <f>B49+C49-AF49</f>
        <v>2730.0999999999995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1" ref="B51:AD51">B47-B48-B49</f>
        <v>106.60000000000036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0.09999999999999432</v>
      </c>
      <c r="K51" s="67">
        <f t="shared" si="11"/>
        <v>0</v>
      </c>
      <c r="L51" s="67">
        <f t="shared" si="11"/>
        <v>0</v>
      </c>
      <c r="M51" s="72">
        <f t="shared" si="11"/>
        <v>0</v>
      </c>
      <c r="N51" s="67">
        <f t="shared" si="11"/>
        <v>0</v>
      </c>
      <c r="O51" s="67">
        <f t="shared" si="11"/>
        <v>0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5.1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5.199999999999994</v>
      </c>
      <c r="AG51" s="72">
        <f>AG47-AG49-AG48</f>
        <v>101.40000000000055</v>
      </c>
    </row>
    <row r="52" spans="1:33" ht="15" customHeight="1">
      <c r="A52" s="4" t="s">
        <v>0</v>
      </c>
      <c r="B52" s="22">
        <f>5598.5-194.4</f>
        <v>5404.1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72">
        <v>550.6</v>
      </c>
      <c r="N52" s="67"/>
      <c r="O52" s="71"/>
      <c r="P52" s="67">
        <v>16</v>
      </c>
      <c r="Q52" s="67">
        <v>384.3</v>
      </c>
      <c r="R52" s="67"/>
      <c r="S52" s="72"/>
      <c r="T52" s="72">
        <v>525.5</v>
      </c>
      <c r="U52" s="72"/>
      <c r="V52" s="72">
        <v>369.8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1846.2</v>
      </c>
      <c r="AG52" s="72">
        <f aca="true" t="shared" si="12" ref="AG52:AG59">B52+C52-AF52</f>
        <v>3557.9000000000005</v>
      </c>
    </row>
    <row r="53" spans="1:33" ht="15" customHeight="1">
      <c r="A53" s="3" t="s">
        <v>2</v>
      </c>
      <c r="B53" s="22">
        <v>1290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>
        <v>101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101</v>
      </c>
      <c r="AG53" s="72">
        <f t="shared" si="12"/>
        <v>1189</v>
      </c>
    </row>
    <row r="54" spans="1:34" ht="15" customHeight="1">
      <c r="A54" s="4" t="s">
        <v>9</v>
      </c>
      <c r="B54" s="36">
        <v>2072.5</v>
      </c>
      <c r="C54" s="22"/>
      <c r="D54" s="67"/>
      <c r="E54" s="67"/>
      <c r="F54" s="67"/>
      <c r="G54" s="67"/>
      <c r="H54" s="67"/>
      <c r="I54" s="67"/>
      <c r="J54" s="72"/>
      <c r="K54" s="67"/>
      <c r="L54" s="67">
        <v>238.4</v>
      </c>
      <c r="M54" s="72">
        <v>293</v>
      </c>
      <c r="N54" s="67">
        <v>43.5</v>
      </c>
      <c r="O54" s="71"/>
      <c r="P54" s="67"/>
      <c r="Q54" s="71"/>
      <c r="R54" s="67">
        <v>2</v>
      </c>
      <c r="S54" s="72">
        <v>39.3</v>
      </c>
      <c r="T54" s="72"/>
      <c r="U54" s="72">
        <v>520.9</v>
      </c>
      <c r="V54" s="72">
        <v>174.4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1311.5</v>
      </c>
      <c r="AG54" s="72">
        <f t="shared" si="12"/>
        <v>761</v>
      </c>
      <c r="AH54" s="6"/>
    </row>
    <row r="55" spans="1:34" ht="15.75">
      <c r="A55" s="3" t="s">
        <v>5</v>
      </c>
      <c r="B55" s="22">
        <v>1059.1</v>
      </c>
      <c r="C55" s="22"/>
      <c r="D55" s="67"/>
      <c r="E55" s="67"/>
      <c r="F55" s="67"/>
      <c r="G55" s="67"/>
      <c r="H55" s="67"/>
      <c r="I55" s="67"/>
      <c r="J55" s="72"/>
      <c r="K55" s="67"/>
      <c r="L55" s="67">
        <v>95.5</v>
      </c>
      <c r="M55" s="72">
        <v>254.3</v>
      </c>
      <c r="N55" s="67"/>
      <c r="O55" s="71"/>
      <c r="P55" s="67"/>
      <c r="Q55" s="71"/>
      <c r="R55" s="67"/>
      <c r="S55" s="72"/>
      <c r="T55" s="72"/>
      <c r="U55" s="72">
        <v>520.9</v>
      </c>
      <c r="V55" s="72">
        <v>145.6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1016.3000000000001</v>
      </c>
      <c r="AG55" s="72">
        <f t="shared" si="12"/>
        <v>42.79999999999984</v>
      </c>
      <c r="AH55" s="6"/>
    </row>
    <row r="56" spans="1:34" ht="15" customHeight="1">
      <c r="A56" s="3" t="s">
        <v>1</v>
      </c>
      <c r="B56" s="22">
        <f>10+2</f>
        <v>12</v>
      </c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72">
        <v>10</v>
      </c>
      <c r="N56" s="67"/>
      <c r="O56" s="71"/>
      <c r="P56" s="67"/>
      <c r="Q56" s="71"/>
      <c r="R56" s="67">
        <v>2</v>
      </c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12</v>
      </c>
      <c r="AG56" s="72">
        <f t="shared" si="12"/>
        <v>0</v>
      </c>
      <c r="AH56" s="6"/>
    </row>
    <row r="57" spans="1:33" ht="15.75">
      <c r="A57" s="3" t="s">
        <v>2</v>
      </c>
      <c r="B57" s="29">
        <v>166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</v>
      </c>
      <c r="AG57" s="72">
        <f t="shared" si="12"/>
        <v>166</v>
      </c>
    </row>
    <row r="58" spans="1:33" ht="15.75">
      <c r="A58" s="3" t="s">
        <v>16</v>
      </c>
      <c r="B58" s="29">
        <v>17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>
        <v>5.1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72">
        <f t="shared" si="12"/>
        <v>11.9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7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818.4000000000001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142.9</v>
      </c>
      <c r="M60" s="72">
        <f t="shared" si="13"/>
        <v>28.69999999999999</v>
      </c>
      <c r="N60" s="67">
        <f t="shared" si="13"/>
        <v>43.5</v>
      </c>
      <c r="O60" s="67">
        <f t="shared" si="13"/>
        <v>0</v>
      </c>
      <c r="P60" s="67">
        <f t="shared" si="13"/>
        <v>0</v>
      </c>
      <c r="Q60" s="67">
        <f t="shared" si="13"/>
        <v>0</v>
      </c>
      <c r="R60" s="67">
        <f t="shared" si="13"/>
        <v>0</v>
      </c>
      <c r="S60" s="67">
        <f t="shared" si="13"/>
        <v>39.3</v>
      </c>
      <c r="T60" s="67">
        <f t="shared" si="13"/>
        <v>0</v>
      </c>
      <c r="U60" s="67">
        <f t="shared" si="13"/>
        <v>0</v>
      </c>
      <c r="V60" s="67">
        <f t="shared" si="13"/>
        <v>23.70000000000001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278.0999999999999</v>
      </c>
      <c r="AG60" s="72">
        <f>AG54-AG55-AG57-AG59-AG56-AG58</f>
        <v>540.3000000000002</v>
      </c>
    </row>
    <row r="61" spans="1:33" ht="15" customHeight="1">
      <c r="A61" s="4" t="s">
        <v>10</v>
      </c>
      <c r="B61" s="22">
        <v>51.5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>
        <v>18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18</v>
      </c>
      <c r="AG61" s="72">
        <f aca="true" t="shared" si="15" ref="AG61:AG67">B61+C61-AF61</f>
        <v>33.5</v>
      </c>
    </row>
    <row r="62" spans="1:33" ht="15" customHeight="1">
      <c r="A62" s="4" t="s">
        <v>11</v>
      </c>
      <c r="B62" s="22">
        <v>3166.2</v>
      </c>
      <c r="C62" s="22"/>
      <c r="D62" s="67"/>
      <c r="E62" s="67"/>
      <c r="F62" s="67"/>
      <c r="G62" s="67"/>
      <c r="H62" s="67"/>
      <c r="I62" s="67"/>
      <c r="J62" s="72"/>
      <c r="K62" s="67"/>
      <c r="L62" s="67">
        <v>721.7</v>
      </c>
      <c r="M62" s="72">
        <v>145.3</v>
      </c>
      <c r="N62" s="67"/>
      <c r="O62" s="71"/>
      <c r="P62" s="67"/>
      <c r="Q62" s="71"/>
      <c r="R62" s="67"/>
      <c r="S62" s="72">
        <v>5</v>
      </c>
      <c r="T62" s="72">
        <v>112.8</v>
      </c>
      <c r="U62" s="72">
        <v>1132.7</v>
      </c>
      <c r="V62" s="72">
        <v>7.6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2125.1</v>
      </c>
      <c r="AG62" s="72">
        <f t="shared" si="15"/>
        <v>1041.1</v>
      </c>
    </row>
    <row r="63" spans="1:34" ht="15.75">
      <c r="A63" s="3" t="s">
        <v>5</v>
      </c>
      <c r="B63" s="22">
        <v>1796.3</v>
      </c>
      <c r="C63" s="22"/>
      <c r="D63" s="67"/>
      <c r="E63" s="67"/>
      <c r="F63" s="67"/>
      <c r="G63" s="67"/>
      <c r="H63" s="67"/>
      <c r="I63" s="67"/>
      <c r="J63" s="72"/>
      <c r="K63" s="67"/>
      <c r="L63" s="67">
        <v>721.7</v>
      </c>
      <c r="M63" s="72"/>
      <c r="N63" s="67"/>
      <c r="O63" s="71"/>
      <c r="P63" s="67"/>
      <c r="Q63" s="71"/>
      <c r="R63" s="67"/>
      <c r="S63" s="72"/>
      <c r="T63" s="72"/>
      <c r="U63" s="72">
        <v>980.4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1702.1</v>
      </c>
      <c r="AG63" s="72">
        <f t="shared" si="15"/>
        <v>94.20000000000005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72">
        <f t="shared" si="15"/>
        <v>0</v>
      </c>
      <c r="AH64" s="6"/>
    </row>
    <row r="65" spans="1:34" ht="15.75">
      <c r="A65" s="3" t="s">
        <v>1</v>
      </c>
      <c r="B65" s="22">
        <v>86.4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72"/>
      <c r="N65" s="67"/>
      <c r="O65" s="71"/>
      <c r="P65" s="67"/>
      <c r="Q65" s="71"/>
      <c r="R65" s="67"/>
      <c r="S65" s="72"/>
      <c r="T65" s="72"/>
      <c r="U65" s="72">
        <v>3.2</v>
      </c>
      <c r="V65" s="72">
        <v>7.6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10.8</v>
      </c>
      <c r="AG65" s="72">
        <f t="shared" si="15"/>
        <v>75.60000000000001</v>
      </c>
      <c r="AH65" s="6"/>
    </row>
    <row r="66" spans="1:33" ht="15.75">
      <c r="A66" s="3" t="s">
        <v>2</v>
      </c>
      <c r="B66" s="22">
        <v>169.3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</v>
      </c>
      <c r="AG66" s="72">
        <f t="shared" si="15"/>
        <v>169.3</v>
      </c>
    </row>
    <row r="67" spans="1:33" ht="15.75">
      <c r="A67" s="3" t="s">
        <v>16</v>
      </c>
      <c r="B67" s="22">
        <v>290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72">
        <f t="shared" si="15"/>
        <v>290</v>
      </c>
    </row>
    <row r="68" spans="1:33" ht="15.75">
      <c r="A68" s="3" t="s">
        <v>23</v>
      </c>
      <c r="B68" s="22">
        <f aca="true" t="shared" si="16" ref="B68:AD68">B62-B63-B66-B67-B65-B64</f>
        <v>824.1999999999999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72">
        <f t="shared" si="16"/>
        <v>145.3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5</v>
      </c>
      <c r="T68" s="67">
        <f t="shared" si="16"/>
        <v>112.8</v>
      </c>
      <c r="U68" s="67">
        <f t="shared" si="16"/>
        <v>149.10000000000008</v>
      </c>
      <c r="V68" s="67">
        <f t="shared" si="16"/>
        <v>0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412.2000000000001</v>
      </c>
      <c r="AG68" s="72">
        <f>AG62-AG63-AG66-AG67-AG65-AG64</f>
        <v>411.9999999999999</v>
      </c>
    </row>
    <row r="69" spans="1:33" ht="31.5">
      <c r="A69" s="4" t="s">
        <v>45</v>
      </c>
      <c r="B69" s="22">
        <f>1087.6+194.4</f>
        <v>1282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72"/>
      <c r="N69" s="67"/>
      <c r="O69" s="67"/>
      <c r="P69" s="67"/>
      <c r="Q69" s="67">
        <v>871.9</v>
      </c>
      <c r="R69" s="67">
        <v>408.1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1280</v>
      </c>
      <c r="AG69" s="89">
        <f aca="true" t="shared" si="17" ref="AG69:AG92">B69+C69-AF69</f>
        <v>2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9">
        <f t="shared" si="17"/>
        <v>0</v>
      </c>
    </row>
    <row r="71" spans="1:50" ht="31.5">
      <c r="A71" s="4" t="s">
        <v>46</v>
      </c>
      <c r="B71" s="22"/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9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1101.3</f>
        <v>1101.3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72"/>
      <c r="N72" s="67"/>
      <c r="O72" s="67"/>
      <c r="P72" s="67"/>
      <c r="Q72" s="71"/>
      <c r="R72" s="67"/>
      <c r="S72" s="72">
        <v>1.8</v>
      </c>
      <c r="T72" s="72"/>
      <c r="U72" s="72">
        <v>195.4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197.20000000000002</v>
      </c>
      <c r="AG72" s="89">
        <f t="shared" si="17"/>
        <v>904.0999999999999</v>
      </c>
    </row>
    <row r="73" spans="1:33" ht="15" customHeight="1">
      <c r="A73" s="3" t="s">
        <v>5</v>
      </c>
      <c r="B73" s="22">
        <v>40.7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9">
        <f t="shared" si="17"/>
        <v>40.7</v>
      </c>
    </row>
    <row r="74" spans="1:33" ht="15" customHeight="1">
      <c r="A74" s="3" t="s">
        <v>2</v>
      </c>
      <c r="B74" s="22">
        <f>49.6+233.5</f>
        <v>283.1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72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9">
        <f t="shared" si="17"/>
        <v>283.1</v>
      </c>
    </row>
    <row r="75" spans="1:33" ht="15" customHeight="1">
      <c r="A75" s="3" t="s">
        <v>16</v>
      </c>
      <c r="B75" s="22">
        <f>8+9.1</f>
        <v>17.1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7.7</v>
      </c>
      <c r="AG75" s="89">
        <f t="shared" si="17"/>
        <v>9.400000000000002</v>
      </c>
    </row>
    <row r="76" spans="1:33" s="11" customFormat="1" ht="15.75">
      <c r="A76" s="12" t="s">
        <v>48</v>
      </c>
      <c r="B76" s="22">
        <v>146.7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80">
        <v>33.6</v>
      </c>
      <c r="N76" s="79"/>
      <c r="O76" s="79"/>
      <c r="P76" s="79"/>
      <c r="Q76" s="81"/>
      <c r="R76" s="79"/>
      <c r="S76" s="80"/>
      <c r="T76" s="80"/>
      <c r="U76" s="79"/>
      <c r="V76" s="79">
        <v>100.1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133.7</v>
      </c>
      <c r="AG76" s="89">
        <f t="shared" si="17"/>
        <v>13</v>
      </c>
    </row>
    <row r="77" spans="1:33" s="11" customFormat="1" ht="15.75">
      <c r="A77" s="3" t="s">
        <v>5</v>
      </c>
      <c r="B77" s="22">
        <v>134.5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80">
        <v>33.6</v>
      </c>
      <c r="N77" s="79"/>
      <c r="O77" s="79"/>
      <c r="P77" s="79"/>
      <c r="Q77" s="81"/>
      <c r="R77" s="79"/>
      <c r="S77" s="80"/>
      <c r="T77" s="80"/>
      <c r="U77" s="79"/>
      <c r="V77" s="79">
        <v>99.1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132.7</v>
      </c>
      <c r="AG77" s="89">
        <f t="shared" si="17"/>
        <v>1.8000000000000114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9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9">
        <f t="shared" si="17"/>
        <v>0</v>
      </c>
    </row>
    <row r="80" spans="1:33" s="11" customFormat="1" ht="15.75">
      <c r="A80" s="3" t="s">
        <v>2</v>
      </c>
      <c r="B80" s="22">
        <v>9.1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</v>
      </c>
      <c r="AG80" s="89">
        <f t="shared" si="17"/>
        <v>9.1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9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9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4"/>
        <v>0</v>
      </c>
      <c r="AG83" s="72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72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72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72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72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72">
        <f t="shared" si="17"/>
        <v>0</v>
      </c>
      <c r="AH88" s="11"/>
    </row>
    <row r="89" spans="1:35" ht="15.75">
      <c r="A89" s="4" t="s">
        <v>50</v>
      </c>
      <c r="B89" s="22">
        <v>8064.3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72"/>
      <c r="N89" s="67"/>
      <c r="O89" s="67"/>
      <c r="P89" s="67"/>
      <c r="Q89" s="67">
        <v>457.7</v>
      </c>
      <c r="R89" s="67"/>
      <c r="S89" s="72"/>
      <c r="T89" s="72">
        <v>20.2</v>
      </c>
      <c r="U89" s="67">
        <v>2395.4</v>
      </c>
      <c r="V89" s="67">
        <v>103.8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2977.1000000000004</v>
      </c>
      <c r="AG89" s="72">
        <f t="shared" si="17"/>
        <v>5087.2</v>
      </c>
      <c r="AH89" s="11"/>
      <c r="AI89" s="85"/>
    </row>
    <row r="90" spans="1:34" ht="15.75">
      <c r="A90" s="4" t="s">
        <v>51</v>
      </c>
      <c r="B90" s="22">
        <f>3519.3+2140.7+0.4</f>
        <v>5660.4</v>
      </c>
      <c r="C90" s="22"/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>
        <v>1886.8</v>
      </c>
      <c r="P90" s="67"/>
      <c r="Q90" s="67"/>
      <c r="R90" s="67"/>
      <c r="S90" s="72"/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4"/>
        <v>5660.4</v>
      </c>
      <c r="AG90" s="72">
        <f t="shared" si="17"/>
        <v>0</v>
      </c>
      <c r="AH90" s="11"/>
    </row>
    <row r="91" spans="1:34" ht="15.75">
      <c r="A91" s="4" t="s">
        <v>25</v>
      </c>
      <c r="B91" s="22">
        <f>208.3-0.4</f>
        <v>207.9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72">
        <f t="shared" si="17"/>
        <v>207.9</v>
      </c>
      <c r="AH91" s="11"/>
    </row>
    <row r="92" spans="1:34" ht="15.75">
      <c r="A92" s="4" t="s">
        <v>37</v>
      </c>
      <c r="B92" s="22">
        <v>9702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72">
        <f t="shared" si="17"/>
        <v>9702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162748.5</v>
      </c>
      <c r="C94" s="35">
        <f t="shared" si="18"/>
        <v>0</v>
      </c>
      <c r="D94" s="82">
        <f t="shared" si="18"/>
        <v>0</v>
      </c>
      <c r="E94" s="82">
        <f t="shared" si="18"/>
        <v>0</v>
      </c>
      <c r="F94" s="82">
        <f t="shared" si="18"/>
        <v>0</v>
      </c>
      <c r="G94" s="82">
        <f t="shared" si="18"/>
        <v>244</v>
      </c>
      <c r="H94" s="82">
        <f t="shared" si="18"/>
        <v>0</v>
      </c>
      <c r="I94" s="82">
        <f t="shared" si="18"/>
        <v>1930.7</v>
      </c>
      <c r="J94" s="82">
        <f t="shared" si="18"/>
        <v>2609.6</v>
      </c>
      <c r="K94" s="82">
        <f t="shared" si="18"/>
        <v>23429.700000000004</v>
      </c>
      <c r="L94" s="82">
        <f t="shared" si="18"/>
        <v>972.4000000000001</v>
      </c>
      <c r="M94" s="91">
        <f t="shared" si="18"/>
        <v>1482.9</v>
      </c>
      <c r="N94" s="82">
        <f t="shared" si="18"/>
        <v>9924.199999999999</v>
      </c>
      <c r="O94" s="82">
        <f t="shared" si="18"/>
        <v>2048.2</v>
      </c>
      <c r="P94" s="82">
        <f t="shared" si="18"/>
        <v>856.5</v>
      </c>
      <c r="Q94" s="82">
        <f t="shared" si="18"/>
        <v>1896.6000000000001</v>
      </c>
      <c r="R94" s="82">
        <f t="shared" si="18"/>
        <v>481.5</v>
      </c>
      <c r="S94" s="82">
        <f t="shared" si="18"/>
        <v>3099.3</v>
      </c>
      <c r="T94" s="82">
        <f t="shared" si="18"/>
        <v>708</v>
      </c>
      <c r="U94" s="82">
        <f t="shared" si="18"/>
        <v>6116.3</v>
      </c>
      <c r="V94" s="82">
        <f t="shared" si="18"/>
        <v>38816.00000000001</v>
      </c>
      <c r="W94" s="82">
        <f t="shared" si="18"/>
        <v>2627.9999999999995</v>
      </c>
      <c r="X94" s="82">
        <f t="shared" si="18"/>
        <v>16956</v>
      </c>
      <c r="Y94" s="82">
        <f t="shared" si="18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114199.90000000001</v>
      </c>
      <c r="AG94" s="83">
        <f>AG10+AG15+AG24+AG33+AG47+AG52+AG54+AG61+AG62+AG69+AG71+AG72+AG76+AG81+AG82+AG83+AG88+AG89+AG90+AG91+AG70+AG40+AG92</f>
        <v>48548.6</v>
      </c>
    </row>
    <row r="95" spans="1:33" ht="15.75">
      <c r="A95" s="3" t="s">
        <v>5</v>
      </c>
      <c r="B95" s="22">
        <f aca="true" t="shared" si="19" ref="B95:AD95">B11+B17+B26+B34+B55+B63+B73+B41+B77+B48</f>
        <v>76983.7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244</v>
      </c>
      <c r="H95" s="67">
        <f t="shared" si="19"/>
        <v>0</v>
      </c>
      <c r="I95" s="67">
        <f t="shared" si="19"/>
        <v>0</v>
      </c>
      <c r="J95" s="67">
        <f t="shared" si="19"/>
        <v>2447.7</v>
      </c>
      <c r="K95" s="67">
        <f t="shared" si="19"/>
        <v>23429.7</v>
      </c>
      <c r="L95" s="67">
        <f t="shared" si="19"/>
        <v>827</v>
      </c>
      <c r="M95" s="72">
        <f t="shared" si="19"/>
        <v>733.8000000000001</v>
      </c>
      <c r="N95" s="67">
        <f t="shared" si="19"/>
        <v>0</v>
      </c>
      <c r="O95" s="67">
        <f t="shared" si="19"/>
        <v>0</v>
      </c>
      <c r="P95" s="67">
        <f t="shared" si="19"/>
        <v>292</v>
      </c>
      <c r="Q95" s="67">
        <f t="shared" si="19"/>
        <v>16</v>
      </c>
      <c r="R95" s="67">
        <f t="shared" si="19"/>
        <v>4.4</v>
      </c>
      <c r="S95" s="67">
        <f t="shared" si="19"/>
        <v>0</v>
      </c>
      <c r="T95" s="67">
        <f t="shared" si="19"/>
        <v>0</v>
      </c>
      <c r="U95" s="67">
        <f t="shared" si="19"/>
        <v>2727.5</v>
      </c>
      <c r="V95" s="67">
        <f t="shared" si="19"/>
        <v>24338.899999999998</v>
      </c>
      <c r="W95" s="67">
        <f t="shared" si="19"/>
        <v>2568.6</v>
      </c>
      <c r="X95" s="67">
        <f t="shared" si="19"/>
        <v>15069.2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72698.8</v>
      </c>
      <c r="AG95" s="71">
        <f>B95+C95-AF95</f>
        <v>4284.899999999994</v>
      </c>
    </row>
    <row r="96" spans="1:33" ht="15.75">
      <c r="A96" s="3" t="s">
        <v>2</v>
      </c>
      <c r="B96" s="22">
        <f aca="true" t="shared" si="20" ref="B96:AD96">B12+B20+B29+B36+B57+B66+B44+B80+B74+B53</f>
        <v>10640.400000000001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72">
        <f t="shared" si="20"/>
        <v>13.9</v>
      </c>
      <c r="N96" s="67">
        <f t="shared" si="20"/>
        <v>0</v>
      </c>
      <c r="O96" s="67">
        <f t="shared" si="20"/>
        <v>0</v>
      </c>
      <c r="P96" s="67">
        <f t="shared" si="20"/>
        <v>0</v>
      </c>
      <c r="Q96" s="67">
        <f t="shared" si="20"/>
        <v>0</v>
      </c>
      <c r="R96" s="67">
        <f t="shared" si="20"/>
        <v>0</v>
      </c>
      <c r="S96" s="67">
        <f t="shared" si="20"/>
        <v>0</v>
      </c>
      <c r="T96" s="67">
        <f t="shared" si="20"/>
        <v>0</v>
      </c>
      <c r="U96" s="67">
        <f t="shared" si="20"/>
        <v>43.7</v>
      </c>
      <c r="V96" s="67">
        <f t="shared" si="20"/>
        <v>101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158.6</v>
      </c>
      <c r="AG96" s="71">
        <f>B96+C96-AF96</f>
        <v>10481.800000000001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72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4299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72">
        <f t="shared" si="22"/>
        <v>10</v>
      </c>
      <c r="N98" s="67">
        <f t="shared" si="22"/>
        <v>0</v>
      </c>
      <c r="O98" s="67">
        <f t="shared" si="22"/>
        <v>0</v>
      </c>
      <c r="P98" s="67">
        <f t="shared" si="22"/>
        <v>525.8</v>
      </c>
      <c r="Q98" s="67">
        <f t="shared" si="22"/>
        <v>0</v>
      </c>
      <c r="R98" s="67">
        <f t="shared" si="22"/>
        <v>46.4</v>
      </c>
      <c r="S98" s="67">
        <f t="shared" si="22"/>
        <v>601.2</v>
      </c>
      <c r="T98" s="67">
        <f t="shared" si="22"/>
        <v>43.3</v>
      </c>
      <c r="U98" s="67">
        <f t="shared" si="22"/>
        <v>359.59999999999997</v>
      </c>
      <c r="V98" s="67">
        <f t="shared" si="22"/>
        <v>63.2</v>
      </c>
      <c r="W98" s="67">
        <f t="shared" si="22"/>
        <v>22.2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1671.7</v>
      </c>
      <c r="AG98" s="71">
        <f>B98+C98-AF98</f>
        <v>2627.3</v>
      </c>
    </row>
    <row r="99" spans="1:33" ht="15.75">
      <c r="A99" s="3" t="s">
        <v>16</v>
      </c>
      <c r="B99" s="22">
        <f aca="true" t="shared" si="23" ref="B99:X99">B21+B30+B49+B37+B58+B13+B75+B67</f>
        <v>6121.4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152.1</v>
      </c>
      <c r="K99" s="67">
        <f t="shared" si="23"/>
        <v>0</v>
      </c>
      <c r="L99" s="67">
        <f t="shared" si="23"/>
        <v>0</v>
      </c>
      <c r="M99" s="72">
        <f t="shared" si="23"/>
        <v>0</v>
      </c>
      <c r="N99" s="67">
        <f t="shared" si="23"/>
        <v>0</v>
      </c>
      <c r="O99" s="67">
        <f t="shared" si="23"/>
        <v>134.7</v>
      </c>
      <c r="P99" s="67">
        <f t="shared" si="23"/>
        <v>12.4</v>
      </c>
      <c r="Q99" s="67">
        <f t="shared" si="23"/>
        <v>164.7</v>
      </c>
      <c r="R99" s="67">
        <f t="shared" si="23"/>
        <v>14</v>
      </c>
      <c r="S99" s="67">
        <f t="shared" si="23"/>
        <v>2449</v>
      </c>
      <c r="T99" s="67">
        <f t="shared" si="23"/>
        <v>0</v>
      </c>
      <c r="U99" s="67">
        <f t="shared" si="23"/>
        <v>7.7</v>
      </c>
      <c r="V99" s="67">
        <f t="shared" si="23"/>
        <v>5.1</v>
      </c>
      <c r="W99" s="67">
        <f t="shared" si="23"/>
        <v>8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2947.7</v>
      </c>
      <c r="AG99" s="71">
        <f>B99+C99-AF99</f>
        <v>3173.7</v>
      </c>
    </row>
    <row r="100" spans="1:33" ht="12.75">
      <c r="A100" s="1" t="s">
        <v>35</v>
      </c>
      <c r="B100" s="2">
        <f aca="true" t="shared" si="25" ref="B100:AD100">B94-B95-B96-B97-B98-B99</f>
        <v>64703.99999999999</v>
      </c>
      <c r="C100" s="2">
        <f t="shared" si="25"/>
        <v>0</v>
      </c>
      <c r="D100" s="84">
        <f t="shared" si="25"/>
        <v>0</v>
      </c>
      <c r="E100" s="84">
        <f t="shared" si="25"/>
        <v>0</v>
      </c>
      <c r="F100" s="84">
        <f t="shared" si="25"/>
        <v>0</v>
      </c>
      <c r="G100" s="84">
        <f t="shared" si="25"/>
        <v>0</v>
      </c>
      <c r="H100" s="84">
        <f t="shared" si="25"/>
        <v>0</v>
      </c>
      <c r="I100" s="84">
        <f t="shared" si="25"/>
        <v>1930.7</v>
      </c>
      <c r="J100" s="84">
        <f t="shared" si="25"/>
        <v>9.800000000000097</v>
      </c>
      <c r="K100" s="84">
        <f t="shared" si="25"/>
        <v>3.637978807091713E-12</v>
      </c>
      <c r="L100" s="84">
        <f t="shared" si="25"/>
        <v>145.4000000000001</v>
      </c>
      <c r="M100" s="92">
        <f t="shared" si="25"/>
        <v>725.2</v>
      </c>
      <c r="N100" s="84">
        <f t="shared" si="25"/>
        <v>9924.199999999999</v>
      </c>
      <c r="O100" s="84">
        <f t="shared" si="25"/>
        <v>1913.4999999999998</v>
      </c>
      <c r="P100" s="84">
        <f t="shared" si="25"/>
        <v>26.300000000000047</v>
      </c>
      <c r="Q100" s="84">
        <f t="shared" si="25"/>
        <v>1715.9</v>
      </c>
      <c r="R100" s="84">
        <f t="shared" si="25"/>
        <v>416.70000000000005</v>
      </c>
      <c r="S100" s="84">
        <f t="shared" si="25"/>
        <v>49.100000000000364</v>
      </c>
      <c r="T100" s="84">
        <f t="shared" si="25"/>
        <v>664.7</v>
      </c>
      <c r="U100" s="84">
        <f t="shared" si="25"/>
        <v>2977.8000000000006</v>
      </c>
      <c r="V100" s="84">
        <f t="shared" si="25"/>
        <v>14307.800000000008</v>
      </c>
      <c r="W100" s="84">
        <f t="shared" si="25"/>
        <v>29.199999999999633</v>
      </c>
      <c r="X100" s="84">
        <f t="shared" si="25"/>
        <v>1886.7999999999993</v>
      </c>
      <c r="Y100" s="84">
        <f t="shared" si="25"/>
        <v>0</v>
      </c>
      <c r="Z100" s="84">
        <f t="shared" si="25"/>
        <v>0</v>
      </c>
      <c r="AA100" s="84">
        <f t="shared" si="25"/>
        <v>0</v>
      </c>
      <c r="AB100" s="84">
        <f t="shared" si="25"/>
        <v>0</v>
      </c>
      <c r="AC100" s="84">
        <f t="shared" si="25"/>
        <v>0</v>
      </c>
      <c r="AD100" s="84">
        <f t="shared" si="25"/>
        <v>0</v>
      </c>
      <c r="AE100" s="84"/>
      <c r="AF100" s="84">
        <f>AF94-AF95-AF96-AF97-AF98-AF99</f>
        <v>36723.10000000001</v>
      </c>
      <c r="AG100" s="84">
        <f>AG94-AG95-AG96-AG97-AG98-AG99</f>
        <v>27980.9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11.00390625" style="0" customWidth="1"/>
    <col min="13" max="13" width="10.00390625" style="18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19568.3</v>
      </c>
      <c r="AF7" s="54"/>
      <c r="AG7" s="40"/>
    </row>
    <row r="8" spans="1:55" ht="18" customHeight="1">
      <c r="A8" s="47" t="s">
        <v>30</v>
      </c>
      <c r="B8" s="33">
        <f>SUM(E8:AB8)</f>
        <v>68838.2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SUM(E8:AD8)+C8-AF9+AF16+AF25</f>
        <v>88367.49999999996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153046.8</v>
      </c>
      <c r="C9" s="23">
        <f t="shared" si="0"/>
        <v>48548.6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4034.0999999999995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33857.2</v>
      </c>
      <c r="M9" s="90">
        <f t="shared" si="0"/>
        <v>13450.800000000001</v>
      </c>
      <c r="N9" s="68">
        <f t="shared" si="0"/>
        <v>7202.2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83845.70000000001</v>
      </c>
      <c r="AG9" s="90">
        <f>AG10+AG15+AG24+AG33+AG47+AG52+AG54+AG61+AG62+AG71+AG72+AG76+AG88+AG81+AG83+AG82+AG69+AG89+AG91+AG90+AG70+AG40+AG92</f>
        <v>117749.70000000001</v>
      </c>
      <c r="AH9" s="41"/>
      <c r="AI9" s="41"/>
    </row>
    <row r="10" spans="1:33" ht="15.75">
      <c r="A10" s="4" t="s">
        <v>4</v>
      </c>
      <c r="B10" s="22">
        <v>17247.5</v>
      </c>
      <c r="C10" s="22">
        <v>1956.9999999999982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3844.7</v>
      </c>
      <c r="M10" s="72">
        <v>1728.3</v>
      </c>
      <c r="N10" s="67">
        <v>5.1</v>
      </c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7823.1</v>
      </c>
      <c r="AG10" s="72">
        <f>B10+C10-AF10</f>
        <v>11381.4</v>
      </c>
    </row>
    <row r="11" spans="1:33" ht="15.75">
      <c r="A11" s="3" t="s">
        <v>5</v>
      </c>
      <c r="B11" s="22">
        <v>16171</v>
      </c>
      <c r="C11" s="22">
        <v>1076.2999999999993</v>
      </c>
      <c r="D11" s="67"/>
      <c r="E11" s="67">
        <v>39.8</v>
      </c>
      <c r="F11" s="67">
        <v>0.3</v>
      </c>
      <c r="G11" s="67">
        <v>122</v>
      </c>
      <c r="H11" s="67">
        <v>1.4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7400.4</v>
      </c>
      <c r="AG11" s="72">
        <f>B11+C11-AF11</f>
        <v>9846.9</v>
      </c>
    </row>
    <row r="12" spans="1:33" ht="15.75">
      <c r="A12" s="3" t="s">
        <v>2</v>
      </c>
      <c r="B12" s="29">
        <v>403.8</v>
      </c>
      <c r="C12" s="22">
        <v>412.20000000000005</v>
      </c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61.6</v>
      </c>
      <c r="AG12" s="72">
        <f>B12+C12-AF12</f>
        <v>754.4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672.7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155.29999999999998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16.699999999999818</v>
      </c>
      <c r="M14" s="72">
        <f t="shared" si="2"/>
        <v>70.70000000000005</v>
      </c>
      <c r="N14" s="67">
        <f t="shared" si="2"/>
        <v>5.1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361.0999999999999</v>
      </c>
      <c r="AG14" s="72">
        <f>AG10-AG11-AG12-AG13</f>
        <v>780.1</v>
      </c>
    </row>
    <row r="15" spans="1:33" ht="15" customHeight="1">
      <c r="A15" s="4" t="s">
        <v>6</v>
      </c>
      <c r="B15" s="22">
        <v>69948.9</v>
      </c>
      <c r="C15" s="22">
        <v>13865.100000000006</v>
      </c>
      <c r="D15" s="73">
        <f>2403.3+273.5</f>
        <v>2676.8</v>
      </c>
      <c r="E15" s="73"/>
      <c r="F15" s="67">
        <v>220.6</v>
      </c>
      <c r="G15" s="67">
        <v>39.4</v>
      </c>
      <c r="H15" s="67">
        <v>2669.9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2528.1</v>
      </c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34918.5</v>
      </c>
      <c r="AG15" s="72">
        <f aca="true" t="shared" si="3" ref="AG15:AG31">B15+C15-AF15</f>
        <v>48895.5</v>
      </c>
    </row>
    <row r="16" spans="1:34" s="53" customFormat="1" ht="15" customHeight="1">
      <c r="A16" s="51" t="s">
        <v>38</v>
      </c>
      <c r="B16" s="52">
        <v>23019.6</v>
      </c>
      <c r="C16" s="52">
        <v>288.09999999999854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10783.7</v>
      </c>
      <c r="AG16" s="88">
        <f t="shared" si="3"/>
        <v>12523.999999999996</v>
      </c>
      <c r="AH16" s="57"/>
    </row>
    <row r="17" spans="1:34" ht="15.75">
      <c r="A17" s="3" t="s">
        <v>5</v>
      </c>
      <c r="B17" s="22">
        <v>51892</v>
      </c>
      <c r="C17" s="22">
        <v>2988.5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27430.2</v>
      </c>
      <c r="AG17" s="72">
        <f t="shared" si="3"/>
        <v>27450.3</v>
      </c>
      <c r="AH17" s="6"/>
    </row>
    <row r="18" spans="1:33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</row>
    <row r="19" spans="1:33" ht="15.75">
      <c r="A19" s="3" t="s">
        <v>1</v>
      </c>
      <c r="B19" s="22">
        <v>4860.8</v>
      </c>
      <c r="C19" s="22">
        <v>2551.7000000000007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2497.6</v>
      </c>
      <c r="AG19" s="72">
        <f t="shared" si="3"/>
        <v>4914.9000000000015</v>
      </c>
    </row>
    <row r="20" spans="1:33" ht="15.75">
      <c r="A20" s="3" t="s">
        <v>2</v>
      </c>
      <c r="B20" s="22">
        <f>11895.2-159.6</f>
        <v>11735.6</v>
      </c>
      <c r="C20" s="22">
        <v>8061.6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4564.199999999999</v>
      </c>
      <c r="AG20" s="72">
        <f t="shared" si="3"/>
        <v>15233.000000000002</v>
      </c>
    </row>
    <row r="21" spans="1:33" ht="15.75">
      <c r="A21" s="3" t="s">
        <v>16</v>
      </c>
      <c r="B21" s="22">
        <v>1081.9</v>
      </c>
      <c r="C21" s="22">
        <v>49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190</v>
      </c>
      <c r="AG21" s="72">
        <f t="shared" si="3"/>
        <v>940.9000000000001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22">
        <f>B15-B17-B18-B19-B20-B21-B22</f>
        <v>362.2999999999952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3.6000000000001364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220.19999999999726</v>
      </c>
      <c r="AG23" s="72">
        <f t="shared" si="3"/>
        <v>356.4000000000038</v>
      </c>
    </row>
    <row r="24" spans="1:33" ht="15" customHeight="1">
      <c r="A24" s="4" t="s">
        <v>7</v>
      </c>
      <c r="B24" s="22">
        <v>32042</v>
      </c>
      <c r="C24" s="22">
        <v>8025.399999999998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4030.7+430.2</f>
        <v>4460.9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15297.4</v>
      </c>
      <c r="AG24" s="72">
        <f t="shared" si="3"/>
        <v>24769.999999999993</v>
      </c>
    </row>
    <row r="25" spans="1:34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10895</v>
      </c>
      <c r="AG25" s="88">
        <f t="shared" si="3"/>
        <v>6143.200000000001</v>
      </c>
      <c r="AH25" s="57"/>
    </row>
    <row r="26" spans="1:34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>
      <c r="A30" s="3" t="s">
        <v>16</v>
      </c>
      <c r="B30" s="22">
        <v>83.3</v>
      </c>
      <c r="C30" s="22">
        <v>83.3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166.6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22">
        <f>B24-B30</f>
        <v>31958.7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4460.9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15297.4</v>
      </c>
      <c r="AG32" s="72">
        <f>AG24-AG30</f>
        <v>24603.399999999994</v>
      </c>
    </row>
    <row r="33" spans="1:33" ht="15" customHeight="1">
      <c r="A33" s="4" t="s">
        <v>8</v>
      </c>
      <c r="B33" s="22">
        <v>759.3</v>
      </c>
      <c r="C33" s="22">
        <v>471.49999999999994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104.30000000000001</v>
      </c>
      <c r="AG33" s="72">
        <f aca="true" t="shared" si="6" ref="AG33:AG38">B33+C33-AF33</f>
        <v>1126.5</v>
      </c>
    </row>
    <row r="34" spans="1:33" ht="15.75">
      <c r="A34" s="3" t="s">
        <v>5</v>
      </c>
      <c r="B34" s="22">
        <v>315.1</v>
      </c>
      <c r="C34" s="22">
        <v>34.89999999999998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92.9</v>
      </c>
      <c r="AG34" s="72">
        <f t="shared" si="6"/>
        <v>257.1</v>
      </c>
    </row>
    <row r="35" spans="1:33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36">
        <v>118.8</v>
      </c>
      <c r="C36" s="22">
        <v>114.1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9.6</v>
      </c>
      <c r="AG36" s="72">
        <f t="shared" si="6"/>
        <v>223.29999999999998</v>
      </c>
    </row>
    <row r="37" spans="1:33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325.3999999999999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646.1</v>
      </c>
    </row>
    <row r="40" spans="1:33" ht="15" customHeight="1">
      <c r="A40" s="4" t="s">
        <v>29</v>
      </c>
      <c r="B40" s="22">
        <v>1131.4</v>
      </c>
      <c r="C40" s="22">
        <v>88.40000000000009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556.8000000000001</v>
      </c>
      <c r="AG40" s="72">
        <f aca="true" t="shared" si="8" ref="AG40:AG45">B40+C40-AF40</f>
        <v>663.0000000000001</v>
      </c>
    </row>
    <row r="41" spans="1:34" ht="15.75">
      <c r="A41" s="3" t="s">
        <v>5</v>
      </c>
      <c r="B41" s="22">
        <v>985.3</v>
      </c>
      <c r="C41" s="22">
        <v>5.699999999999932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510.1</v>
      </c>
      <c r="AG41" s="72">
        <f t="shared" si="8"/>
        <v>480.89999999999986</v>
      </c>
      <c r="AH41" s="6"/>
    </row>
    <row r="42" spans="1:33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</row>
    <row r="43" spans="1:33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</row>
    <row r="44" spans="1:33" ht="15.75">
      <c r="A44" s="3" t="s">
        <v>2</v>
      </c>
      <c r="B44" s="22">
        <v>118.4</v>
      </c>
      <c r="C44" s="22">
        <v>77.4</v>
      </c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37.9</v>
      </c>
      <c r="AG44" s="72">
        <f t="shared" si="8"/>
        <v>157.9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22">
        <f aca="true" t="shared" si="9" ref="B46:AD46">B40-B41-B42-B43-B44-B45</f>
        <v>16.90000000000012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0.500000000000027</v>
      </c>
      <c r="AG46" s="72">
        <f>AG40-AG41-AG42-AG43-AG44-AG45</f>
        <v>21.700000000000244</v>
      </c>
    </row>
    <row r="47" spans="1:33" ht="17.25" customHeight="1">
      <c r="A47" s="4" t="s">
        <v>43</v>
      </c>
      <c r="B47" s="29">
        <v>4760.8</v>
      </c>
      <c r="C47" s="22">
        <v>2831.5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2392.5000000000005</v>
      </c>
      <c r="AG47" s="72">
        <f>B47+C47-AF47</f>
        <v>5199.799999999999</v>
      </c>
    </row>
    <row r="48" spans="1:33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</row>
    <row r="49" spans="1:33" ht="15.75">
      <c r="A49" s="3" t="s">
        <v>16</v>
      </c>
      <c r="B49" s="22">
        <v>4657.2</v>
      </c>
      <c r="C49" s="22">
        <v>2730.0999999999995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2352.2000000000003</v>
      </c>
      <c r="AG49" s="72">
        <f>B49+C49-AF49</f>
        <v>5035.0999999999985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22">
        <f aca="true" t="shared" si="10" ref="B51:AD51">B47-B48-B49</f>
        <v>103.60000000000036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40.3</v>
      </c>
      <c r="AG51" s="72">
        <f>AG47-AG49-AG48</f>
        <v>164.70000000000073</v>
      </c>
    </row>
    <row r="52" spans="1:33" ht="15" customHeight="1">
      <c r="A52" s="4" t="s">
        <v>0</v>
      </c>
      <c r="B52" s="22">
        <f>5598.5-173.7-321.7</f>
        <v>5103.1</v>
      </c>
      <c r="C52" s="22">
        <v>3557.9000000000005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1040.8999999999999</v>
      </c>
      <c r="AG52" s="72">
        <f aca="true" t="shared" si="11" ref="AG52:AG59">B52+C52-AF52</f>
        <v>7620.1</v>
      </c>
    </row>
    <row r="53" spans="1:33" ht="15" customHeight="1">
      <c r="A53" s="3" t="s">
        <v>2</v>
      </c>
      <c r="B53" s="22">
        <f>1290-18</f>
        <v>1272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2.6</v>
      </c>
      <c r="AG53" s="72">
        <f t="shared" si="11"/>
        <v>2458.4</v>
      </c>
    </row>
    <row r="54" spans="1:34" ht="15" customHeight="1">
      <c r="A54" s="4" t="s">
        <v>9</v>
      </c>
      <c r="B54" s="36">
        <v>2072.4</v>
      </c>
      <c r="C54" s="22">
        <v>761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173.9</v>
      </c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889.6</v>
      </c>
      <c r="AG54" s="72">
        <f t="shared" si="11"/>
        <v>1943.8000000000002</v>
      </c>
      <c r="AH54" s="6"/>
    </row>
    <row r="55" spans="1:34" ht="15.75">
      <c r="A55" s="3" t="s">
        <v>5</v>
      </c>
      <c r="B55" s="22">
        <v>1147.8</v>
      </c>
      <c r="C55" s="22">
        <v>42.79999999999984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367.6</v>
      </c>
      <c r="AG55" s="72">
        <f t="shared" si="11"/>
        <v>822.9999999999999</v>
      </c>
      <c r="AH55" s="6"/>
    </row>
    <row r="56" spans="1:34" ht="15" customHeight="1">
      <c r="A56" s="3" t="s">
        <v>1</v>
      </c>
      <c r="B56" s="22">
        <v>8</v>
      </c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8</v>
      </c>
      <c r="AH56" s="6"/>
    </row>
    <row r="57" spans="1:33" ht="15.75">
      <c r="A57" s="3" t="s">
        <v>2</v>
      </c>
      <c r="B57" s="29">
        <v>167.5</v>
      </c>
      <c r="C57" s="22">
        <v>166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0</v>
      </c>
      <c r="AG57" s="72">
        <f t="shared" si="11"/>
        <v>333.5</v>
      </c>
    </row>
    <row r="58" spans="1:33" ht="15.75">
      <c r="A58" s="3" t="s">
        <v>16</v>
      </c>
      <c r="B58" s="29">
        <v>17</v>
      </c>
      <c r="C58" s="22">
        <v>11.9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22">
        <f aca="true" t="shared" si="12" ref="B60:AD60">B54-B55-B57-B59-B56-B58</f>
        <v>732.1000000000001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173.9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522</v>
      </c>
      <c r="AG60" s="72">
        <f>AG54-AG55-AG57-AG59-AG56-AG58</f>
        <v>750.4000000000002</v>
      </c>
    </row>
    <row r="61" spans="1:33" ht="15" customHeight="1">
      <c r="A61" s="4" t="s">
        <v>10</v>
      </c>
      <c r="B61" s="22">
        <v>51.5</v>
      </c>
      <c r="C61" s="22">
        <v>33.5</v>
      </c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16.9</v>
      </c>
      <c r="AG61" s="72">
        <f aca="true" t="shared" si="14" ref="AG61:AG67">B61+C61-AF61</f>
        <v>68.1</v>
      </c>
    </row>
    <row r="62" spans="1:33" ht="15" customHeight="1">
      <c r="A62" s="4" t="s">
        <v>11</v>
      </c>
      <c r="B62" s="22">
        <v>3166.2</v>
      </c>
      <c r="C62" s="22">
        <v>1041.1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1268.8</v>
      </c>
      <c r="AG62" s="72">
        <f t="shared" si="14"/>
        <v>2938.499999999999</v>
      </c>
    </row>
    <row r="63" spans="1:34" ht="15.75">
      <c r="A63" s="3" t="s">
        <v>5</v>
      </c>
      <c r="B63" s="22">
        <v>1796.3</v>
      </c>
      <c r="C63" s="22">
        <v>94.20000000000005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865.2</v>
      </c>
      <c r="AG63" s="72">
        <f t="shared" si="14"/>
        <v>1025.3</v>
      </c>
      <c r="AH63" s="50"/>
    </row>
    <row r="64" spans="1:34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22">
        <v>92.7</v>
      </c>
      <c r="C65" s="22">
        <v>75.60000000000001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31.1</v>
      </c>
      <c r="AG65" s="72">
        <f t="shared" si="14"/>
        <v>137.20000000000002</v>
      </c>
      <c r="AH65" s="6"/>
    </row>
    <row r="66" spans="1:33" ht="15.75">
      <c r="A66" s="3" t="s">
        <v>2</v>
      </c>
      <c r="B66" s="22">
        <v>169.5</v>
      </c>
      <c r="C66" s="22">
        <v>169.3</v>
      </c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1.5</v>
      </c>
      <c r="AG66" s="72">
        <f t="shared" si="14"/>
        <v>337.3</v>
      </c>
    </row>
    <row r="67" spans="1:33" ht="15.75">
      <c r="A67" s="3" t="s">
        <v>16</v>
      </c>
      <c r="B67" s="22">
        <v>290</v>
      </c>
      <c r="C67" s="22">
        <v>290</v>
      </c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580</v>
      </c>
    </row>
    <row r="68" spans="1:33" ht="15.75">
      <c r="A68" s="3" t="s">
        <v>23</v>
      </c>
      <c r="B68" s="22">
        <f aca="true" t="shared" si="15" ref="B68:AD68">B62-B63-B66-B67-B65-B64</f>
        <v>817.6999999999998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371</v>
      </c>
      <c r="AG68" s="72">
        <f>AG62-AG63-AG66-AG67-AG65-AG64</f>
        <v>858.6999999999991</v>
      </c>
    </row>
    <row r="69" spans="1:33" ht="31.5">
      <c r="A69" s="4" t="s">
        <v>45</v>
      </c>
      <c r="B69" s="22">
        <f>1087.7+173.7+321.7</f>
        <v>1583.1000000000001</v>
      </c>
      <c r="C69" s="22">
        <v>2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1486.4</v>
      </c>
      <c r="AG69" s="89">
        <f aca="true" t="shared" si="16" ref="AG69:AG92">B69+C69-AF69</f>
        <v>98.70000000000005</v>
      </c>
    </row>
    <row r="70" spans="1:33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</row>
    <row r="71" spans="1:50" ht="31.5">
      <c r="A71" s="4" t="s">
        <v>46</v>
      </c>
      <c r="B71" s="22">
        <v>0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1101.3</v>
      </c>
      <c r="C72" s="22">
        <v>904.0999999999999</v>
      </c>
      <c r="D72" s="67"/>
      <c r="E72" s="67">
        <v>80.5</v>
      </c>
      <c r="F72" s="67">
        <v>153.4</v>
      </c>
      <c r="G72" s="67"/>
      <c r="H72" s="67">
        <v>141.9</v>
      </c>
      <c r="I72" s="67"/>
      <c r="J72" s="72"/>
      <c r="K72" s="67">
        <v>2.8</v>
      </c>
      <c r="L72" s="67">
        <v>3.1</v>
      </c>
      <c r="M72" s="72">
        <v>0.3</v>
      </c>
      <c r="N72" s="67">
        <v>34.1</v>
      </c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416.1000000000001</v>
      </c>
      <c r="AG72" s="89">
        <f t="shared" si="16"/>
        <v>1589.2999999999997</v>
      </c>
    </row>
    <row r="73" spans="1:33" ht="15" customHeight="1">
      <c r="A73" s="3" t="s">
        <v>5</v>
      </c>
      <c r="B73" s="22">
        <v>40.7</v>
      </c>
      <c r="C73" s="22">
        <v>40.7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80.5</v>
      </c>
      <c r="AG73" s="89">
        <f t="shared" si="16"/>
        <v>0.9000000000000057</v>
      </c>
    </row>
    <row r="74" spans="1:33" ht="15" customHeight="1">
      <c r="A74" s="3" t="s">
        <v>2</v>
      </c>
      <c r="B74" s="22">
        <f>48.6+233.4</f>
        <v>282</v>
      </c>
      <c r="C74" s="22">
        <v>283.1</v>
      </c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175.3</v>
      </c>
      <c r="AG74" s="89">
        <f t="shared" si="16"/>
        <v>389.8</v>
      </c>
    </row>
    <row r="75" spans="1:33" ht="15" customHeight="1">
      <c r="A75" s="3" t="s">
        <v>16</v>
      </c>
      <c r="B75" s="22">
        <v>17.1</v>
      </c>
      <c r="C75" s="22">
        <v>9.400000000000002</v>
      </c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9">
        <f t="shared" si="16"/>
        <v>26.500000000000004</v>
      </c>
    </row>
    <row r="76" spans="1:33" s="11" customFormat="1" ht="15.75">
      <c r="A76" s="12" t="s">
        <v>48</v>
      </c>
      <c r="B76" s="22">
        <v>146.7</v>
      </c>
      <c r="C76" s="22">
        <v>13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61.4</v>
      </c>
      <c r="AG76" s="89">
        <f t="shared" si="16"/>
        <v>98.29999999999998</v>
      </c>
    </row>
    <row r="77" spans="1:33" s="11" customFormat="1" ht="15.75">
      <c r="A77" s="3" t="s">
        <v>5</v>
      </c>
      <c r="B77" s="22">
        <v>133.6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51.9</v>
      </c>
      <c r="AG77" s="89">
        <f t="shared" si="16"/>
        <v>83.5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</row>
    <row r="80" spans="1:33" s="11" customFormat="1" ht="15.75">
      <c r="A80" s="3" t="s">
        <v>2</v>
      </c>
      <c r="B80" s="22">
        <v>7.9</v>
      </c>
      <c r="C80" s="22">
        <v>9.1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7.699999999999999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</row>
    <row r="82" spans="1:33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</row>
    <row r="83" spans="1:33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22">
        <v>8064.3</v>
      </c>
      <c r="C89" s="22">
        <v>5087.2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5984.2</v>
      </c>
      <c r="AG89" s="72">
        <f t="shared" si="16"/>
        <v>7167.3</v>
      </c>
      <c r="AH89" s="11"/>
      <c r="AI89" s="85"/>
    </row>
    <row r="90" spans="1:34" ht="15.75">
      <c r="A90" s="4" t="s">
        <v>51</v>
      </c>
      <c r="B90" s="22">
        <f>3519.3+2140.7</f>
        <v>5660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1886.8</v>
      </c>
      <c r="AG90" s="72">
        <f t="shared" si="16"/>
        <v>3773.2</v>
      </c>
      <c r="AH90" s="11"/>
    </row>
    <row r="91" spans="1:34" ht="15.75">
      <c r="A91" s="4" t="s">
        <v>25</v>
      </c>
      <c r="B91" s="22">
        <v>208.3</v>
      </c>
      <c r="C91" s="22">
        <v>207.9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416.20000000000005</v>
      </c>
      <c r="AH91" s="11"/>
    </row>
    <row r="92" spans="1:34" ht="15.75">
      <c r="A92" s="4" t="s">
        <v>37</v>
      </c>
      <c r="B92" s="22">
        <v>0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9702</v>
      </c>
      <c r="AG92" s="72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153046.8</v>
      </c>
      <c r="C94" s="35">
        <f t="shared" si="17"/>
        <v>48548.6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4034.0999999999995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33857.2</v>
      </c>
      <c r="M94" s="91">
        <f t="shared" si="17"/>
        <v>13450.800000000001</v>
      </c>
      <c r="N94" s="82">
        <f t="shared" si="17"/>
        <v>7202.2</v>
      </c>
      <c r="O94" s="82">
        <f t="shared" si="17"/>
        <v>0</v>
      </c>
      <c r="P94" s="82">
        <f t="shared" si="17"/>
        <v>0</v>
      </c>
      <c r="Q94" s="82">
        <f t="shared" si="17"/>
        <v>0</v>
      </c>
      <c r="R94" s="82">
        <f t="shared" si="17"/>
        <v>0</v>
      </c>
      <c r="S94" s="82">
        <f t="shared" si="17"/>
        <v>0</v>
      </c>
      <c r="T94" s="82">
        <f t="shared" si="17"/>
        <v>0</v>
      </c>
      <c r="U94" s="82">
        <f t="shared" si="17"/>
        <v>0</v>
      </c>
      <c r="V94" s="82">
        <f t="shared" si="17"/>
        <v>0</v>
      </c>
      <c r="W94" s="82">
        <f t="shared" si="17"/>
        <v>0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83845.70000000001</v>
      </c>
      <c r="AG94" s="83">
        <f>AG10+AG15+AG24+AG33+AG47+AG52+AG54+AG61+AG62+AG69+AG71+AG72+AG76+AG81+AG82+AG83+AG88+AG89+AG90+AG91+AG70+AG40+AG92</f>
        <v>117749.70000000001</v>
      </c>
    </row>
    <row r="95" spans="1:33" ht="15.75">
      <c r="A95" s="3" t="s">
        <v>5</v>
      </c>
      <c r="B95" s="22">
        <f aca="true" t="shared" si="18" ref="B95:AD95">B11+B17+B26+B34+B55+B63+B73+B41+B77+B48</f>
        <v>72481.80000000002</v>
      </c>
      <c r="C95" s="22">
        <f t="shared" si="18"/>
        <v>4284.899999999999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1.4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36798.8</v>
      </c>
      <c r="AG95" s="71">
        <f>B95+C95-AF95</f>
        <v>39967.90000000001</v>
      </c>
    </row>
    <row r="96" spans="1:33" ht="15.75">
      <c r="A96" s="3" t="s">
        <v>2</v>
      </c>
      <c r="B96" s="22">
        <f aca="true" t="shared" si="19" ref="B96:AD96">B12+B20+B29+B36+B57+B66+B44+B80+B74+B53</f>
        <v>14275.499999999998</v>
      </c>
      <c r="C96" s="22">
        <f t="shared" si="19"/>
        <v>10481.800000000001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4862</v>
      </c>
      <c r="AG96" s="71">
        <f>B96+C96-AF96</f>
        <v>19895.3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4972.3</v>
      </c>
      <c r="C98" s="22">
        <f t="shared" si="21"/>
        <v>2627.3000000000006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2537</v>
      </c>
      <c r="AG98" s="71">
        <f>B98+C98-AF98</f>
        <v>5062.6</v>
      </c>
    </row>
    <row r="99" spans="1:33" ht="15.75">
      <c r="A99" s="3" t="s">
        <v>16</v>
      </c>
      <c r="B99" s="22">
        <f aca="true" t="shared" si="22" ref="B99:X99">B21+B30+B49+B37+B58+B13+B75+B67</f>
        <v>6146.5</v>
      </c>
      <c r="C99" s="22">
        <f t="shared" si="22"/>
        <v>3173.7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2542.2000000000003</v>
      </c>
      <c r="AG99" s="71">
        <f>B99+C99-AF99</f>
        <v>6778</v>
      </c>
    </row>
    <row r="100" spans="1:33" ht="12.75">
      <c r="A100" s="1" t="s">
        <v>35</v>
      </c>
      <c r="B100" s="2">
        <f aca="true" t="shared" si="24" ref="B100:AD100">B94-B95-B96-B97-B98-B99</f>
        <v>55154.399999999965</v>
      </c>
      <c r="C100" s="2">
        <f t="shared" si="24"/>
        <v>27980.899999999994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1062.1999999999991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4310.999999999997</v>
      </c>
      <c r="M100" s="92">
        <f t="shared" si="24"/>
        <v>10983.2</v>
      </c>
      <c r="N100" s="84">
        <f t="shared" si="24"/>
        <v>4652</v>
      </c>
      <c r="O100" s="84">
        <f t="shared" si="24"/>
        <v>0</v>
      </c>
      <c r="P100" s="84">
        <f t="shared" si="24"/>
        <v>0</v>
      </c>
      <c r="Q100" s="84">
        <f t="shared" si="24"/>
        <v>0</v>
      </c>
      <c r="R100" s="84">
        <f t="shared" si="24"/>
        <v>0</v>
      </c>
      <c r="S100" s="84">
        <f t="shared" si="24"/>
        <v>0</v>
      </c>
      <c r="T100" s="84">
        <f t="shared" si="24"/>
        <v>0</v>
      </c>
      <c r="U100" s="84">
        <f t="shared" si="24"/>
        <v>0</v>
      </c>
      <c r="V100" s="84">
        <f t="shared" si="24"/>
        <v>0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37089.40000000001</v>
      </c>
      <c r="AG100" s="84">
        <f>AG94-AG95-AG96-AG97-AG98-AG99</f>
        <v>46045.9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customWidth="1"/>
    <col min="10" max="10" width="8.25390625" style="18" customWidth="1"/>
    <col min="11" max="11" width="9.125" style="0" customWidth="1"/>
    <col min="12" max="12" width="11.00390625" style="0" customWidth="1"/>
    <col min="13" max="13" width="10.00390625" style="18" customWidth="1"/>
    <col min="14" max="14" width="8.2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54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1189.199999999997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1117.2999999999956</v>
      </c>
      <c r="AF7" s="54"/>
      <c r="AG7" s="40"/>
    </row>
    <row r="8" spans="1:55" ht="18" customHeight="1">
      <c r="A8" s="47" t="s">
        <v>30</v>
      </c>
      <c r="B8" s="33">
        <f>SUM(E8:AB8)</f>
        <v>143115.19999999998</v>
      </c>
      <c r="C8" s="87">
        <v>81696.29999999997</v>
      </c>
      <c r="D8" s="59">
        <v>11949.6</v>
      </c>
      <c r="E8" s="60">
        <v>4237.9</v>
      </c>
      <c r="F8" s="61">
        <v>4412.5</v>
      </c>
      <c r="G8" s="61">
        <v>7230.1</v>
      </c>
      <c r="H8" s="61">
        <v>8545.8</v>
      </c>
      <c r="I8" s="61">
        <v>17693.4</v>
      </c>
      <c r="J8" s="61">
        <v>4424.7</v>
      </c>
      <c r="K8" s="62">
        <v>4011.3</v>
      </c>
      <c r="L8" s="61">
        <v>3466.8</v>
      </c>
      <c r="M8" s="62">
        <v>4605.5</v>
      </c>
      <c r="N8" s="61">
        <v>10210.2</v>
      </c>
      <c r="O8" s="61">
        <v>11904</v>
      </c>
      <c r="P8" s="61">
        <v>10666.5</v>
      </c>
      <c r="Q8" s="61">
        <v>8762.5</v>
      </c>
      <c r="R8" s="61">
        <v>7254.7</v>
      </c>
      <c r="S8" s="63">
        <v>4552</v>
      </c>
      <c r="T8" s="63">
        <v>10516.9</v>
      </c>
      <c r="U8" s="61">
        <v>4241.1</v>
      </c>
      <c r="V8" s="61">
        <v>5279.5</v>
      </c>
      <c r="W8" s="61">
        <v>11099.8</v>
      </c>
      <c r="X8" s="62"/>
      <c r="Y8" s="62"/>
      <c r="Z8" s="62"/>
      <c r="AA8" s="62"/>
      <c r="AB8" s="61"/>
      <c r="AC8" s="64"/>
      <c r="AD8" s="64"/>
      <c r="AE8" s="65">
        <f>SUM(D8:AD8)+C8-AF9+AF16+AF25</f>
        <v>73985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263305.19999999995</v>
      </c>
      <c r="C9" s="23">
        <f t="shared" si="0"/>
        <v>13399.5</v>
      </c>
      <c r="D9" s="68">
        <f t="shared" si="0"/>
        <v>2676.8</v>
      </c>
      <c r="E9" s="68">
        <f t="shared" si="0"/>
        <v>4237.9</v>
      </c>
      <c r="F9" s="68">
        <f t="shared" si="0"/>
        <v>8216.3</v>
      </c>
      <c r="G9" s="68">
        <f t="shared" si="0"/>
        <v>427.90000000000003</v>
      </c>
      <c r="H9" s="68">
        <f t="shared" si="0"/>
        <v>4034.2999999999993</v>
      </c>
      <c r="I9" s="68">
        <f t="shared" si="0"/>
        <v>4522.3</v>
      </c>
      <c r="J9" s="68">
        <f t="shared" si="0"/>
        <v>1450.8</v>
      </c>
      <c r="K9" s="68">
        <f t="shared" si="0"/>
        <v>3769.4</v>
      </c>
      <c r="L9" s="68">
        <f t="shared" si="0"/>
        <v>33857.399999999994</v>
      </c>
      <c r="M9" s="90">
        <f t="shared" si="0"/>
        <v>13450.9</v>
      </c>
      <c r="N9" s="68">
        <f t="shared" si="0"/>
        <v>7202.000000000001</v>
      </c>
      <c r="O9" s="68">
        <f t="shared" si="0"/>
        <v>30524.5</v>
      </c>
      <c r="P9" s="68">
        <f t="shared" si="0"/>
        <v>10666.5</v>
      </c>
      <c r="Q9" s="68">
        <f t="shared" si="0"/>
        <v>2269.2</v>
      </c>
      <c r="R9" s="68">
        <f t="shared" si="0"/>
        <v>5957.1</v>
      </c>
      <c r="S9" s="68">
        <f t="shared" si="0"/>
        <v>4598.900000000001</v>
      </c>
      <c r="T9" s="68">
        <f t="shared" si="0"/>
        <v>32024.6</v>
      </c>
      <c r="U9" s="68">
        <f t="shared" si="0"/>
        <v>16639.699999999986</v>
      </c>
      <c r="V9" s="68">
        <f t="shared" si="0"/>
        <v>5279.5</v>
      </c>
      <c r="W9" s="68">
        <f t="shared" si="0"/>
        <v>11099.8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202905.8</v>
      </c>
      <c r="AG9" s="90">
        <f>AG10+AG15+AG24+AG33+AG47+AG52+AG54+AG61+AG62+AG71+AG72+AG76+AG88+AG81+AG83+AG82+AG69+AG89+AG91+AG90+AG70+AG40+AG92</f>
        <v>73798.90000000001</v>
      </c>
      <c r="AH9" s="41"/>
      <c r="AI9" s="41"/>
    </row>
    <row r="10" spans="1:35" ht="15.75">
      <c r="A10" s="4" t="s">
        <v>4</v>
      </c>
      <c r="B10" s="22">
        <v>20853.5</v>
      </c>
      <c r="C10" s="22">
        <v>76.6</v>
      </c>
      <c r="D10" s="67"/>
      <c r="E10" s="67">
        <v>73.2</v>
      </c>
      <c r="F10" s="67">
        <v>32.7</v>
      </c>
      <c r="G10" s="67">
        <v>207.4</v>
      </c>
      <c r="H10" s="67">
        <v>162.1</v>
      </c>
      <c r="I10" s="67">
        <v>3.7</v>
      </c>
      <c r="J10" s="70">
        <v>587.9</v>
      </c>
      <c r="K10" s="67">
        <v>1178</v>
      </c>
      <c r="L10" s="67">
        <v>3844.8</v>
      </c>
      <c r="M10" s="72">
        <v>1728.4</v>
      </c>
      <c r="N10" s="67">
        <v>5.1</v>
      </c>
      <c r="O10" s="71">
        <v>21.1</v>
      </c>
      <c r="P10" s="67">
        <v>0.3</v>
      </c>
      <c r="Q10" s="67">
        <v>34.4</v>
      </c>
      <c r="R10" s="67">
        <v>45</v>
      </c>
      <c r="S10" s="72">
        <v>4.2</v>
      </c>
      <c r="T10" s="72">
        <v>963</v>
      </c>
      <c r="U10" s="72">
        <v>7087.2</v>
      </c>
      <c r="V10" s="72">
        <v>2475</v>
      </c>
      <c r="W10" s="72">
        <v>12.1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18465.6</v>
      </c>
      <c r="AG10" s="72">
        <f>B10+C10-AF10</f>
        <v>2464.5</v>
      </c>
      <c r="AI10" s="6"/>
    </row>
    <row r="11" spans="1:35" ht="15.75">
      <c r="A11" s="3" t="s">
        <v>5</v>
      </c>
      <c r="B11" s="22">
        <f>18725.4-37.5</f>
        <v>18687.9</v>
      </c>
      <c r="C11" s="22">
        <v>59.4</v>
      </c>
      <c r="D11" s="67"/>
      <c r="E11" s="67">
        <v>39.8</v>
      </c>
      <c r="F11" s="67">
        <v>0.3</v>
      </c>
      <c r="G11" s="67">
        <v>122</v>
      </c>
      <c r="H11" s="67">
        <f>99.9+1.4</f>
        <v>101.30000000000001</v>
      </c>
      <c r="I11" s="67"/>
      <c r="J11" s="72">
        <v>575.3</v>
      </c>
      <c r="K11" s="67">
        <v>1176</v>
      </c>
      <c r="L11" s="67">
        <v>3828</v>
      </c>
      <c r="M11" s="72">
        <v>1657.6</v>
      </c>
      <c r="N11" s="67"/>
      <c r="O11" s="71">
        <v>10</v>
      </c>
      <c r="P11" s="67"/>
      <c r="Q11" s="67">
        <v>5.7</v>
      </c>
      <c r="R11" s="67"/>
      <c r="S11" s="72"/>
      <c r="T11" s="72">
        <v>877.3</v>
      </c>
      <c r="U11" s="72">
        <v>7018.3</v>
      </c>
      <c r="V11" s="72">
        <v>1997.5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17409.1</v>
      </c>
      <c r="AG11" s="72">
        <f>B11+C11-AF11</f>
        <v>1338.2000000000044</v>
      </c>
      <c r="AI11" s="6"/>
    </row>
    <row r="12" spans="1:35" ht="15.75">
      <c r="A12" s="3" t="s">
        <v>2</v>
      </c>
      <c r="B12" s="29">
        <v>708.6</v>
      </c>
      <c r="C12" s="22"/>
      <c r="D12" s="67"/>
      <c r="E12" s="67"/>
      <c r="F12" s="67"/>
      <c r="G12" s="67">
        <v>56.2</v>
      </c>
      <c r="H12" s="67">
        <v>5.4</v>
      </c>
      <c r="I12" s="67"/>
      <c r="J12" s="72"/>
      <c r="K12" s="67"/>
      <c r="L12" s="67"/>
      <c r="M12" s="72"/>
      <c r="N12" s="67"/>
      <c r="O12" s="71">
        <v>7.1</v>
      </c>
      <c r="P12" s="67"/>
      <c r="Q12" s="67"/>
      <c r="R12" s="67"/>
      <c r="S12" s="72"/>
      <c r="T12" s="72"/>
      <c r="U12" s="72"/>
      <c r="V12" s="72">
        <v>340.1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408.8</v>
      </c>
      <c r="AG12" s="72">
        <f>B12+C12-AF12</f>
        <v>299.8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1456.9999999999986</v>
      </c>
      <c r="C14" s="22">
        <v>468.49999999999886</v>
      </c>
      <c r="D14" s="67">
        <f t="shared" si="2"/>
        <v>0</v>
      </c>
      <c r="E14" s="67">
        <f t="shared" si="2"/>
        <v>33.400000000000006</v>
      </c>
      <c r="F14" s="67">
        <f t="shared" si="2"/>
        <v>32.400000000000006</v>
      </c>
      <c r="G14" s="67">
        <f t="shared" si="2"/>
        <v>29.200000000000003</v>
      </c>
      <c r="H14" s="67">
        <f t="shared" si="2"/>
        <v>55.399999999999984</v>
      </c>
      <c r="I14" s="67">
        <f t="shared" si="2"/>
        <v>3.7</v>
      </c>
      <c r="J14" s="67">
        <f t="shared" si="2"/>
        <v>12.600000000000023</v>
      </c>
      <c r="K14" s="67">
        <f t="shared" si="2"/>
        <v>2</v>
      </c>
      <c r="L14" s="67">
        <f t="shared" si="2"/>
        <v>16.800000000000182</v>
      </c>
      <c r="M14" s="72">
        <f t="shared" si="2"/>
        <v>70.80000000000018</v>
      </c>
      <c r="N14" s="67">
        <f t="shared" si="2"/>
        <v>5.1</v>
      </c>
      <c r="O14" s="67">
        <f t="shared" si="2"/>
        <v>4.000000000000002</v>
      </c>
      <c r="P14" s="67">
        <f t="shared" si="2"/>
        <v>0.3</v>
      </c>
      <c r="Q14" s="67">
        <f t="shared" si="2"/>
        <v>28.7</v>
      </c>
      <c r="R14" s="67">
        <f t="shared" si="2"/>
        <v>45</v>
      </c>
      <c r="S14" s="67">
        <f t="shared" si="2"/>
        <v>4.2</v>
      </c>
      <c r="T14" s="67">
        <f t="shared" si="2"/>
        <v>85.70000000000005</v>
      </c>
      <c r="U14" s="67">
        <f t="shared" si="2"/>
        <v>68.89999999999964</v>
      </c>
      <c r="V14" s="67">
        <f t="shared" si="2"/>
        <v>137.39999999999998</v>
      </c>
      <c r="W14" s="67">
        <f t="shared" si="2"/>
        <v>12.1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647.7000000000002</v>
      </c>
      <c r="AG14" s="72">
        <f>AG10-AG11-AG12-AG13</f>
        <v>826.4999999999957</v>
      </c>
      <c r="AI14" s="6"/>
    </row>
    <row r="15" spans="1:35" ht="15" customHeight="1">
      <c r="A15" s="4" t="s">
        <v>6</v>
      </c>
      <c r="B15" s="22">
        <v>110524.8</v>
      </c>
      <c r="C15" s="22">
        <v>288.2</v>
      </c>
      <c r="D15" s="73">
        <f>2403.3+273.5</f>
        <v>2676.8</v>
      </c>
      <c r="E15" s="73"/>
      <c r="F15" s="67">
        <v>220.6</v>
      </c>
      <c r="G15" s="67">
        <v>39.4</v>
      </c>
      <c r="H15" s="67">
        <f>2669.9+0.1</f>
        <v>2670</v>
      </c>
      <c r="I15" s="67">
        <v>423.4</v>
      </c>
      <c r="J15" s="72">
        <v>804.7</v>
      </c>
      <c r="K15" s="67">
        <v>85</v>
      </c>
      <c r="L15" s="67">
        <f>14514.4+10510.2</f>
        <v>25024.6</v>
      </c>
      <c r="M15" s="72">
        <v>446</v>
      </c>
      <c r="N15" s="67">
        <v>2528.2</v>
      </c>
      <c r="O15" s="71"/>
      <c r="P15" s="67">
        <v>222.7</v>
      </c>
      <c r="Q15" s="71">
        <v>0.8</v>
      </c>
      <c r="R15" s="67">
        <v>3854.8</v>
      </c>
      <c r="S15" s="72">
        <v>741.1</v>
      </c>
      <c r="T15" s="72">
        <f>3541.7</f>
        <v>3541.7</v>
      </c>
      <c r="U15" s="72">
        <f>24275+12398.6</f>
        <v>36673.6</v>
      </c>
      <c r="V15" s="72">
        <v>1128.8</v>
      </c>
      <c r="W15" s="72">
        <v>-92.4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80989.8</v>
      </c>
      <c r="AG15" s="72">
        <f aca="true" t="shared" si="3" ref="AG15:AG31">B15+C15-AF15</f>
        <v>29823.199999999997</v>
      </c>
      <c r="AI15" s="6"/>
    </row>
    <row r="16" spans="1:35" s="53" customFormat="1" ht="15" customHeight="1">
      <c r="A16" s="51" t="s">
        <v>38</v>
      </c>
      <c r="B16" s="52">
        <v>23019.6</v>
      </c>
      <c r="C16" s="52">
        <v>288.1</v>
      </c>
      <c r="D16" s="74">
        <v>273.5</v>
      </c>
      <c r="E16" s="74"/>
      <c r="F16" s="75"/>
      <c r="G16" s="75"/>
      <c r="H16" s="75"/>
      <c r="I16" s="75"/>
      <c r="J16" s="76"/>
      <c r="K16" s="75"/>
      <c r="L16" s="75">
        <v>10510.2</v>
      </c>
      <c r="M16" s="76"/>
      <c r="N16" s="75"/>
      <c r="O16" s="77"/>
      <c r="P16" s="75"/>
      <c r="Q16" s="77"/>
      <c r="R16" s="75"/>
      <c r="S16" s="76"/>
      <c r="T16" s="76"/>
      <c r="U16" s="76">
        <v>12398.6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23182.300000000003</v>
      </c>
      <c r="AG16" s="88">
        <f t="shared" si="3"/>
        <v>125.39999999999418</v>
      </c>
      <c r="AH16" s="57"/>
      <c r="AI16" s="6"/>
    </row>
    <row r="17" spans="1:35" ht="15.75">
      <c r="A17" s="3" t="s">
        <v>5</v>
      </c>
      <c r="B17" s="22">
        <v>61693.8</v>
      </c>
      <c r="C17" s="22">
        <v>288.2</v>
      </c>
      <c r="D17" s="67">
        <f>2403.3+273.5</f>
        <v>2676.8</v>
      </c>
      <c r="E17" s="67"/>
      <c r="F17" s="67"/>
      <c r="G17" s="67"/>
      <c r="H17" s="67"/>
      <c r="I17" s="67"/>
      <c r="J17" s="72"/>
      <c r="K17" s="67"/>
      <c r="L17" s="67">
        <f>14243.2+10510.2</f>
        <v>24753.4</v>
      </c>
      <c r="M17" s="72"/>
      <c r="N17" s="67"/>
      <c r="O17" s="71"/>
      <c r="P17" s="67"/>
      <c r="Q17" s="71"/>
      <c r="R17" s="67"/>
      <c r="S17" s="72"/>
      <c r="T17" s="72"/>
      <c r="U17" s="72">
        <f>19789.8+12398.6</f>
        <v>32188.4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59618.600000000006</v>
      </c>
      <c r="AG17" s="72">
        <f t="shared" si="3"/>
        <v>2363.399999999994</v>
      </c>
      <c r="AH17" s="6"/>
      <c r="AI17" s="6"/>
    </row>
    <row r="18" spans="1:35" ht="15.75">
      <c r="A18" s="3" t="s">
        <v>3</v>
      </c>
      <c r="B18" s="22">
        <v>16.3</v>
      </c>
      <c r="C18" s="22">
        <v>0</v>
      </c>
      <c r="D18" s="67"/>
      <c r="E18" s="67"/>
      <c r="F18" s="67">
        <v>16.3</v>
      </c>
      <c r="G18" s="67"/>
      <c r="H18" s="67"/>
      <c r="I18" s="67"/>
      <c r="J18" s="72"/>
      <c r="K18" s="67"/>
      <c r="L18" s="67"/>
      <c r="M18" s="72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16.3</v>
      </c>
      <c r="AG18" s="72">
        <f t="shared" si="3"/>
        <v>0</v>
      </c>
      <c r="AI18" s="6"/>
    </row>
    <row r="19" spans="1:35" ht="15.75">
      <c r="A19" s="3" t="s">
        <v>1</v>
      </c>
      <c r="B19" s="22">
        <v>7820.9</v>
      </c>
      <c r="C19" s="22">
        <v>0.1</v>
      </c>
      <c r="D19" s="67"/>
      <c r="E19" s="67"/>
      <c r="F19" s="67"/>
      <c r="G19" s="67"/>
      <c r="H19" s="67">
        <v>1183.8</v>
      </c>
      <c r="I19" s="67">
        <v>262</v>
      </c>
      <c r="J19" s="72">
        <v>357.1</v>
      </c>
      <c r="K19" s="67">
        <v>64</v>
      </c>
      <c r="L19" s="67">
        <v>47.5</v>
      </c>
      <c r="M19" s="72">
        <v>133.7</v>
      </c>
      <c r="N19" s="67">
        <v>449.5</v>
      </c>
      <c r="O19" s="71"/>
      <c r="P19" s="67">
        <v>46.4</v>
      </c>
      <c r="Q19" s="71"/>
      <c r="R19" s="67">
        <v>224.9</v>
      </c>
      <c r="S19" s="72">
        <v>741.1</v>
      </c>
      <c r="T19" s="72">
        <v>480.5</v>
      </c>
      <c r="U19" s="72">
        <v>382.6</v>
      </c>
      <c r="V19" s="72"/>
      <c r="W19" s="72">
        <v>-93.5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4279.6</v>
      </c>
      <c r="AG19" s="72">
        <f t="shared" si="3"/>
        <v>3541.3999999999996</v>
      </c>
      <c r="AI19" s="6"/>
    </row>
    <row r="20" spans="1:35" ht="15.75">
      <c r="A20" s="3" t="s">
        <v>2</v>
      </c>
      <c r="B20" s="22">
        <v>35399.2</v>
      </c>
      <c r="C20" s="22">
        <v>0</v>
      </c>
      <c r="D20" s="67"/>
      <c r="E20" s="67"/>
      <c r="F20" s="67"/>
      <c r="G20" s="67">
        <v>39.4</v>
      </c>
      <c r="H20" s="67">
        <v>1482.5</v>
      </c>
      <c r="I20" s="67">
        <v>161.1</v>
      </c>
      <c r="J20" s="72">
        <v>446.7</v>
      </c>
      <c r="K20" s="67"/>
      <c r="L20" s="67">
        <v>223.7</v>
      </c>
      <c r="M20" s="72">
        <v>143.2</v>
      </c>
      <c r="N20" s="67">
        <v>2067.6</v>
      </c>
      <c r="O20" s="71"/>
      <c r="P20" s="67">
        <v>42</v>
      </c>
      <c r="Q20" s="71">
        <v>0.7</v>
      </c>
      <c r="R20" s="67">
        <v>3077.2</v>
      </c>
      <c r="S20" s="72"/>
      <c r="T20" s="72">
        <v>2292.1</v>
      </c>
      <c r="U20" s="72">
        <v>4098.5</v>
      </c>
      <c r="V20" s="72">
        <v>884.8</v>
      </c>
      <c r="W20" s="72">
        <v>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14960.599999999999</v>
      </c>
      <c r="AG20" s="72">
        <f t="shared" si="3"/>
        <v>20438.6</v>
      </c>
      <c r="AI20" s="6"/>
    </row>
    <row r="21" spans="1:35" ht="15.75">
      <c r="A21" s="3" t="s">
        <v>16</v>
      </c>
      <c r="B21" s="22">
        <v>1226.9</v>
      </c>
      <c r="C21" s="22">
        <v>0</v>
      </c>
      <c r="D21" s="67"/>
      <c r="E21" s="67"/>
      <c r="F21" s="67"/>
      <c r="G21" s="67"/>
      <c r="H21" s="67"/>
      <c r="I21" s="67"/>
      <c r="J21" s="72"/>
      <c r="K21" s="67">
        <v>21</v>
      </c>
      <c r="L21" s="67"/>
      <c r="M21" s="72">
        <v>169</v>
      </c>
      <c r="N21" s="67"/>
      <c r="O21" s="71"/>
      <c r="P21" s="67">
        <v>134.3</v>
      </c>
      <c r="Q21" s="71"/>
      <c r="R21" s="67"/>
      <c r="S21" s="72"/>
      <c r="T21" s="72">
        <v>503.1</v>
      </c>
      <c r="U21" s="67"/>
      <c r="V21" s="67">
        <v>242.3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1069.7</v>
      </c>
      <c r="AG21" s="72">
        <f t="shared" si="3"/>
        <v>157.20000000000005</v>
      </c>
      <c r="AI21" s="6"/>
    </row>
    <row r="22" spans="1:35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72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I22" s="6"/>
    </row>
    <row r="23" spans="1:35" ht="15.75">
      <c r="A23" s="3" t="s">
        <v>23</v>
      </c>
      <c r="B23" s="22">
        <f>B15-B17-B18-B19-B20-B21-B22</f>
        <v>4367.699999999999</v>
      </c>
      <c r="C23" s="22">
        <v>214.3000000000059</v>
      </c>
      <c r="D23" s="67">
        <f aca="true" t="shared" si="4" ref="D23:AD23">D15-D17-D18-D19-D20-D21-D22</f>
        <v>0</v>
      </c>
      <c r="E23" s="67">
        <f t="shared" si="4"/>
        <v>0</v>
      </c>
      <c r="F23" s="67">
        <f t="shared" si="4"/>
        <v>204.29999999999998</v>
      </c>
      <c r="G23" s="67">
        <f t="shared" si="4"/>
        <v>0</v>
      </c>
      <c r="H23" s="67">
        <f t="shared" si="4"/>
        <v>3.7000000000000455</v>
      </c>
      <c r="I23" s="67">
        <f t="shared" si="4"/>
        <v>0.29999999999998295</v>
      </c>
      <c r="J23" s="67">
        <f t="shared" si="4"/>
        <v>0.9000000000000341</v>
      </c>
      <c r="K23" s="67">
        <f t="shared" si="4"/>
        <v>0</v>
      </c>
      <c r="L23" s="67">
        <f t="shared" si="4"/>
        <v>-2.8990143619012088E-12</v>
      </c>
      <c r="M23" s="72">
        <f t="shared" si="4"/>
        <v>0.10000000000002274</v>
      </c>
      <c r="N23" s="67">
        <f t="shared" si="4"/>
        <v>11.099999999999909</v>
      </c>
      <c r="O23" s="67">
        <f t="shared" si="4"/>
        <v>0</v>
      </c>
      <c r="P23" s="67">
        <f t="shared" si="4"/>
        <v>-2.842170943040401E-14</v>
      </c>
      <c r="Q23" s="67">
        <f t="shared" si="4"/>
        <v>0.10000000000000009</v>
      </c>
      <c r="R23" s="67">
        <f t="shared" si="4"/>
        <v>552.7000000000003</v>
      </c>
      <c r="S23" s="67">
        <f t="shared" si="4"/>
        <v>0</v>
      </c>
      <c r="T23" s="67">
        <f t="shared" si="4"/>
        <v>265.9999999999999</v>
      </c>
      <c r="U23" s="67">
        <f t="shared" si="4"/>
        <v>4.099999999996726</v>
      </c>
      <c r="V23" s="67">
        <f t="shared" si="4"/>
        <v>1.6999999999999886</v>
      </c>
      <c r="W23" s="67">
        <f t="shared" si="4"/>
        <v>-5.773159728050814E-15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1044.9999999999939</v>
      </c>
      <c r="AG23" s="72">
        <f t="shared" si="3"/>
        <v>3537.000000000011</v>
      </c>
      <c r="AI23" s="6"/>
    </row>
    <row r="24" spans="1:35" ht="15" customHeight="1">
      <c r="A24" s="4" t="s">
        <v>7</v>
      </c>
      <c r="B24" s="22">
        <v>39159.3</v>
      </c>
      <c r="C24" s="22">
        <v>0</v>
      </c>
      <c r="D24" s="67"/>
      <c r="E24" s="67"/>
      <c r="F24" s="67"/>
      <c r="G24" s="67"/>
      <c r="H24" s="67">
        <f>371.7+499.9</f>
        <v>871.5999999999999</v>
      </c>
      <c r="I24" s="67"/>
      <c r="J24" s="72"/>
      <c r="K24" s="67"/>
      <c r="L24" s="67"/>
      <c r="M24" s="72">
        <f>9964.9</f>
        <v>9964.9</v>
      </c>
      <c r="N24" s="67">
        <f>4030.7+430</f>
        <v>4460.7</v>
      </c>
      <c r="O24" s="71">
        <v>29.9</v>
      </c>
      <c r="P24" s="67"/>
      <c r="Q24" s="71"/>
      <c r="R24" s="71"/>
      <c r="S24" s="72">
        <f>505.9+258.6</f>
        <v>764.5</v>
      </c>
      <c r="T24" s="72">
        <f>9247.5+5793.7</f>
        <v>15041.2</v>
      </c>
      <c r="U24" s="72">
        <v>177.6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31310.4</v>
      </c>
      <c r="AG24" s="72">
        <f t="shared" si="3"/>
        <v>7848.9000000000015</v>
      </c>
      <c r="AI24" s="6"/>
    </row>
    <row r="25" spans="1:35" s="53" customFormat="1" ht="15" customHeight="1">
      <c r="A25" s="51" t="s">
        <v>39</v>
      </c>
      <c r="B25" s="52">
        <v>17038.2</v>
      </c>
      <c r="C25" s="52">
        <v>0</v>
      </c>
      <c r="D25" s="75"/>
      <c r="E25" s="75"/>
      <c r="F25" s="75"/>
      <c r="G25" s="75"/>
      <c r="H25" s="75">
        <v>499.9</v>
      </c>
      <c r="I25" s="75"/>
      <c r="J25" s="76"/>
      <c r="K25" s="75"/>
      <c r="L25" s="75"/>
      <c r="M25" s="76">
        <v>9964.9</v>
      </c>
      <c r="N25" s="75">
        <v>430.2</v>
      </c>
      <c r="O25" s="77"/>
      <c r="P25" s="75"/>
      <c r="Q25" s="77"/>
      <c r="R25" s="77"/>
      <c r="S25" s="76">
        <v>258.6</v>
      </c>
      <c r="T25" s="76">
        <v>5793.8</v>
      </c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16947.4</v>
      </c>
      <c r="AG25" s="88">
        <f t="shared" si="3"/>
        <v>90.79999999999927</v>
      </c>
      <c r="AH25" s="57"/>
      <c r="AI25" s="6"/>
    </row>
    <row r="26" spans="1:35" ht="15.75" hidden="1">
      <c r="A26" s="3" t="s">
        <v>5</v>
      </c>
      <c r="B26" s="22"/>
      <c r="C26" s="22">
        <v>0</v>
      </c>
      <c r="D26" s="67"/>
      <c r="E26" s="67"/>
      <c r="F26" s="67"/>
      <c r="G26" s="67"/>
      <c r="H26" s="67"/>
      <c r="I26" s="67"/>
      <c r="J26" s="72"/>
      <c r="K26" s="67"/>
      <c r="L26" s="67"/>
      <c r="M26" s="72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  <c r="AI26" s="6"/>
    </row>
    <row r="27" spans="1:35" ht="15.75" hidden="1">
      <c r="A27" s="3" t="s">
        <v>3</v>
      </c>
      <c r="B27" s="22"/>
      <c r="C27" s="22">
        <v>0</v>
      </c>
      <c r="D27" s="67"/>
      <c r="E27" s="67"/>
      <c r="F27" s="67"/>
      <c r="G27" s="67"/>
      <c r="H27" s="67"/>
      <c r="I27" s="67"/>
      <c r="J27" s="72"/>
      <c r="K27" s="67"/>
      <c r="L27" s="67"/>
      <c r="M27" s="72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I27" s="6"/>
    </row>
    <row r="28" spans="1:35" ht="15.75" hidden="1">
      <c r="A28" s="3" t="s">
        <v>1</v>
      </c>
      <c r="B28" s="22"/>
      <c r="C28" s="22">
        <v>0</v>
      </c>
      <c r="D28" s="67"/>
      <c r="E28" s="67"/>
      <c r="F28" s="67"/>
      <c r="G28" s="67"/>
      <c r="H28" s="67"/>
      <c r="I28" s="67"/>
      <c r="J28" s="72"/>
      <c r="K28" s="67"/>
      <c r="L28" s="67"/>
      <c r="M28" s="72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I28" s="6"/>
    </row>
    <row r="29" spans="1:35" ht="15.75" hidden="1">
      <c r="A29" s="3" t="s">
        <v>2</v>
      </c>
      <c r="B29" s="22"/>
      <c r="C29" s="22">
        <v>0</v>
      </c>
      <c r="D29" s="67"/>
      <c r="E29" s="67"/>
      <c r="F29" s="67"/>
      <c r="G29" s="67"/>
      <c r="H29" s="67"/>
      <c r="I29" s="67"/>
      <c r="J29" s="72"/>
      <c r="K29" s="67"/>
      <c r="L29" s="67"/>
      <c r="M29" s="72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I29" s="6"/>
    </row>
    <row r="30" spans="1:35" ht="15.75">
      <c r="A30" s="3" t="s">
        <v>16</v>
      </c>
      <c r="B30" s="22">
        <v>90.9</v>
      </c>
      <c r="C30" s="22">
        <v>0</v>
      </c>
      <c r="D30" s="67"/>
      <c r="E30" s="67"/>
      <c r="F30" s="67"/>
      <c r="G30" s="67"/>
      <c r="H30" s="67"/>
      <c r="I30" s="67"/>
      <c r="J30" s="72"/>
      <c r="K30" s="67"/>
      <c r="L30" s="67"/>
      <c r="M30" s="72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90.9</v>
      </c>
      <c r="AI30" s="6"/>
    </row>
    <row r="31" spans="1:35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72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I31" s="6"/>
    </row>
    <row r="32" spans="1:35" ht="15.75">
      <c r="A32" s="3" t="s">
        <v>23</v>
      </c>
      <c r="B32" s="22">
        <f>B24-B30</f>
        <v>39068.4</v>
      </c>
      <c r="C32" s="22">
        <v>7942.099999999998</v>
      </c>
      <c r="D32" s="67">
        <f aca="true" t="shared" si="5" ref="D32:AD32">D24-D26-D27-D28-D29-D30-D31</f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871.5999999999999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72">
        <f t="shared" si="5"/>
        <v>9964.9</v>
      </c>
      <c r="N32" s="67">
        <f t="shared" si="5"/>
        <v>4460.7</v>
      </c>
      <c r="O32" s="67">
        <f t="shared" si="5"/>
        <v>29.9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764.5</v>
      </c>
      <c r="T32" s="67">
        <f t="shared" si="5"/>
        <v>15041.2</v>
      </c>
      <c r="U32" s="67">
        <f t="shared" si="5"/>
        <v>177.6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31310.4</v>
      </c>
      <c r="AG32" s="72">
        <f>AG24-AG30</f>
        <v>7758.000000000002</v>
      </c>
      <c r="AI32" s="6"/>
    </row>
    <row r="33" spans="1:35" ht="15" customHeight="1">
      <c r="A33" s="4" t="s">
        <v>8</v>
      </c>
      <c r="B33" s="22">
        <v>436.7</v>
      </c>
      <c r="C33" s="22">
        <v>85</v>
      </c>
      <c r="D33" s="67"/>
      <c r="E33" s="67">
        <v>4.1</v>
      </c>
      <c r="F33" s="67"/>
      <c r="G33" s="67">
        <v>0.3</v>
      </c>
      <c r="H33" s="67"/>
      <c r="I33" s="67"/>
      <c r="J33" s="72"/>
      <c r="K33" s="67">
        <v>50.7</v>
      </c>
      <c r="L33" s="67">
        <v>49.2</v>
      </c>
      <c r="M33" s="72"/>
      <c r="N33" s="67"/>
      <c r="O33" s="71"/>
      <c r="P33" s="67">
        <v>44</v>
      </c>
      <c r="Q33" s="71"/>
      <c r="R33" s="67"/>
      <c r="S33" s="72"/>
      <c r="T33" s="72">
        <v>180.6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328.9</v>
      </c>
      <c r="AG33" s="72">
        <f aca="true" t="shared" si="6" ref="AG33:AG38">B33+C33-AF33</f>
        <v>192.80000000000007</v>
      </c>
      <c r="AI33" s="6"/>
    </row>
    <row r="34" spans="1:35" ht="15.75">
      <c r="A34" s="3" t="s">
        <v>5</v>
      </c>
      <c r="B34" s="22">
        <v>296.4</v>
      </c>
      <c r="C34" s="22">
        <v>1</v>
      </c>
      <c r="D34" s="67"/>
      <c r="E34" s="67">
        <v>4.1</v>
      </c>
      <c r="F34" s="67"/>
      <c r="G34" s="67"/>
      <c r="H34" s="67"/>
      <c r="I34" s="67"/>
      <c r="J34" s="72"/>
      <c r="K34" s="67">
        <v>50.7</v>
      </c>
      <c r="L34" s="67">
        <v>38.1</v>
      </c>
      <c r="M34" s="72"/>
      <c r="N34" s="67"/>
      <c r="O34" s="67"/>
      <c r="P34" s="67"/>
      <c r="Q34" s="71"/>
      <c r="R34" s="67"/>
      <c r="S34" s="72"/>
      <c r="T34" s="72">
        <v>180.6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273.5</v>
      </c>
      <c r="AG34" s="72">
        <f t="shared" si="6"/>
        <v>23.899999999999977</v>
      </c>
      <c r="AI34" s="6"/>
    </row>
    <row r="35" spans="1:35" ht="15.75" hidden="1">
      <c r="A35" s="3" t="s">
        <v>1</v>
      </c>
      <c r="B35" s="22"/>
      <c r="C35" s="2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72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I35" s="6"/>
    </row>
    <row r="36" spans="1:35" ht="15.75">
      <c r="A36" s="3" t="s">
        <v>2</v>
      </c>
      <c r="B36" s="36">
        <v>105.7</v>
      </c>
      <c r="C36" s="22">
        <v>65</v>
      </c>
      <c r="D36" s="67"/>
      <c r="E36" s="67"/>
      <c r="F36" s="67"/>
      <c r="G36" s="67"/>
      <c r="H36" s="67"/>
      <c r="I36" s="67"/>
      <c r="J36" s="72"/>
      <c r="K36" s="67"/>
      <c r="L36" s="67">
        <v>9.6</v>
      </c>
      <c r="M36" s="72"/>
      <c r="N36" s="67"/>
      <c r="O36" s="71"/>
      <c r="P36" s="67">
        <v>44</v>
      </c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53.6</v>
      </c>
      <c r="AG36" s="72">
        <f t="shared" si="6"/>
        <v>117.1</v>
      </c>
      <c r="AI36" s="6"/>
    </row>
    <row r="37" spans="1:35" ht="15.75" hidden="1">
      <c r="A37" s="3" t="s">
        <v>16</v>
      </c>
      <c r="B37" s="22"/>
      <c r="C37" s="2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72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I37" s="6"/>
    </row>
    <row r="38" spans="1:35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72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I38" s="6"/>
    </row>
    <row r="39" spans="1:35" ht="15.75">
      <c r="A39" s="3" t="s">
        <v>23</v>
      </c>
      <c r="B39" s="22">
        <f aca="true" t="shared" si="7" ref="B39:AD39">B33-B34-B36-B38-B37-B35</f>
        <v>34.60000000000001</v>
      </c>
      <c r="C39" s="22">
        <v>322.5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0.3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1.5000000000000018</v>
      </c>
      <c r="M39" s="72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1.8000000000000018</v>
      </c>
      <c r="AG39" s="72">
        <f>AG33-AG34-AG36-AG38-AG35-AG37</f>
        <v>51.8000000000001</v>
      </c>
      <c r="AI39" s="6"/>
    </row>
    <row r="40" spans="1:35" ht="15" customHeight="1">
      <c r="A40" s="4" t="s">
        <v>29</v>
      </c>
      <c r="B40" s="22">
        <v>1526.7</v>
      </c>
      <c r="C40" s="22">
        <v>0.1</v>
      </c>
      <c r="D40" s="67"/>
      <c r="E40" s="67"/>
      <c r="F40" s="67"/>
      <c r="G40" s="67"/>
      <c r="H40" s="67"/>
      <c r="I40" s="67"/>
      <c r="J40" s="72"/>
      <c r="K40" s="67"/>
      <c r="L40" s="67">
        <v>556.7</v>
      </c>
      <c r="M40" s="72"/>
      <c r="N40" s="67">
        <v>0.1</v>
      </c>
      <c r="O40" s="71"/>
      <c r="P40" s="67"/>
      <c r="Q40" s="71"/>
      <c r="R40" s="71"/>
      <c r="S40" s="72"/>
      <c r="T40" s="72">
        <v>721.1</v>
      </c>
      <c r="U40" s="72">
        <v>127.1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1405</v>
      </c>
      <c r="AG40" s="72">
        <f aca="true" t="shared" si="8" ref="AG40:AG45">B40+C40-AF40</f>
        <v>121.79999999999995</v>
      </c>
      <c r="AI40" s="6"/>
    </row>
    <row r="41" spans="1:35" ht="15.75">
      <c r="A41" s="3" t="s">
        <v>5</v>
      </c>
      <c r="B41" s="22">
        <v>1293</v>
      </c>
      <c r="C41" s="22">
        <v>0.1</v>
      </c>
      <c r="D41" s="67"/>
      <c r="E41" s="67"/>
      <c r="F41" s="67"/>
      <c r="G41" s="67"/>
      <c r="H41" s="67"/>
      <c r="I41" s="67"/>
      <c r="J41" s="72"/>
      <c r="K41" s="67"/>
      <c r="L41" s="67">
        <v>510.1</v>
      </c>
      <c r="M41" s="72"/>
      <c r="N41" s="67"/>
      <c r="O41" s="71"/>
      <c r="P41" s="67"/>
      <c r="Q41" s="67"/>
      <c r="R41" s="67"/>
      <c r="S41" s="72"/>
      <c r="T41" s="72">
        <v>691.2</v>
      </c>
      <c r="U41" s="72">
        <v>14.1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1215.4</v>
      </c>
      <c r="AG41" s="72">
        <f t="shared" si="8"/>
        <v>77.69999999999982</v>
      </c>
      <c r="AH41" s="6"/>
      <c r="AI41" s="6"/>
    </row>
    <row r="42" spans="1:35" ht="15.75" hidden="1">
      <c r="A42" s="3" t="s">
        <v>3</v>
      </c>
      <c r="B42" s="22"/>
      <c r="C42" s="22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72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</v>
      </c>
      <c r="AI42" s="6"/>
    </row>
    <row r="43" spans="1:35" ht="15.75">
      <c r="A43" s="3" t="s">
        <v>1</v>
      </c>
      <c r="B43" s="22">
        <v>10.8</v>
      </c>
      <c r="C43" s="22">
        <v>0</v>
      </c>
      <c r="D43" s="67"/>
      <c r="E43" s="67"/>
      <c r="F43" s="67"/>
      <c r="G43" s="67"/>
      <c r="H43" s="67"/>
      <c r="I43" s="67"/>
      <c r="J43" s="72"/>
      <c r="K43" s="67"/>
      <c r="L43" s="67">
        <v>8.3</v>
      </c>
      <c r="M43" s="72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8.3</v>
      </c>
      <c r="AG43" s="72">
        <f t="shared" si="8"/>
        <v>2.5</v>
      </c>
      <c r="AI43" s="6"/>
    </row>
    <row r="44" spans="1:35" ht="15.75">
      <c r="A44" s="3" t="s">
        <v>2</v>
      </c>
      <c r="B44" s="22">
        <v>190.8</v>
      </c>
      <c r="C44" s="22"/>
      <c r="D44" s="67"/>
      <c r="E44" s="67"/>
      <c r="F44" s="67"/>
      <c r="G44" s="67"/>
      <c r="H44" s="67"/>
      <c r="I44" s="67"/>
      <c r="J44" s="72"/>
      <c r="K44" s="67"/>
      <c r="L44" s="67">
        <v>37.9</v>
      </c>
      <c r="M44" s="72"/>
      <c r="N44" s="67"/>
      <c r="O44" s="71"/>
      <c r="P44" s="67"/>
      <c r="Q44" s="67"/>
      <c r="R44" s="67"/>
      <c r="S44" s="72"/>
      <c r="T44" s="72">
        <v>3.3</v>
      </c>
      <c r="U44" s="72">
        <v>112.6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153.79999999999998</v>
      </c>
      <c r="AG44" s="72">
        <f t="shared" si="8"/>
        <v>37.00000000000003</v>
      </c>
      <c r="AI44" s="6"/>
    </row>
    <row r="45" spans="1:35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72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I45" s="6"/>
    </row>
    <row r="46" spans="1:35" ht="15.75">
      <c r="A46" s="3" t="s">
        <v>23</v>
      </c>
      <c r="B46" s="22">
        <f aca="true" t="shared" si="9" ref="B46:AD46">B40-B41-B42-B43-B44-B45</f>
        <v>32.10000000000002</v>
      </c>
      <c r="C46" s="22">
        <v>5.3000000000001535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0.400000000000027</v>
      </c>
      <c r="M46" s="72">
        <f t="shared" si="9"/>
        <v>0</v>
      </c>
      <c r="N46" s="67">
        <f t="shared" si="9"/>
        <v>0.1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26.599999999999977</v>
      </c>
      <c r="U46" s="67">
        <f t="shared" si="9"/>
        <v>0.4000000000000057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27.50000000000001</v>
      </c>
      <c r="AG46" s="72">
        <f>AG40-AG41-AG42-AG43-AG44-AG45</f>
        <v>4.600000000000108</v>
      </c>
      <c r="AI46" s="6"/>
    </row>
    <row r="47" spans="1:35" ht="17.25" customHeight="1">
      <c r="A47" s="4" t="s">
        <v>43</v>
      </c>
      <c r="B47" s="29">
        <v>7482.2</v>
      </c>
      <c r="C47" s="22">
        <v>0</v>
      </c>
      <c r="D47" s="67"/>
      <c r="E47" s="79">
        <v>10.2</v>
      </c>
      <c r="F47" s="79">
        <v>18</v>
      </c>
      <c r="G47" s="79"/>
      <c r="H47" s="79">
        <v>148.6</v>
      </c>
      <c r="I47" s="79">
        <v>2141.8</v>
      </c>
      <c r="J47" s="80"/>
      <c r="K47" s="79"/>
      <c r="L47" s="79"/>
      <c r="M47" s="80">
        <v>73.9</v>
      </c>
      <c r="N47" s="79"/>
      <c r="O47" s="81"/>
      <c r="P47" s="79">
        <v>131.3</v>
      </c>
      <c r="Q47" s="79"/>
      <c r="R47" s="79">
        <v>1879.3</v>
      </c>
      <c r="S47" s="80">
        <f>351.4</f>
        <v>351.4</v>
      </c>
      <c r="T47" s="80">
        <v>97.1</v>
      </c>
      <c r="U47" s="79">
        <v>16.6</v>
      </c>
      <c r="V47" s="79">
        <v>48.3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4916.500000000001</v>
      </c>
      <c r="AG47" s="72">
        <f>B47+C47-AF47</f>
        <v>2565.699999999999</v>
      </c>
      <c r="AI47" s="6"/>
    </row>
    <row r="48" spans="1:35" ht="15.75" hidden="1">
      <c r="A48" s="3" t="s">
        <v>5</v>
      </c>
      <c r="B48" s="22"/>
      <c r="C48" s="22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80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0</v>
      </c>
      <c r="AI48" s="6"/>
    </row>
    <row r="49" spans="1:35" ht="15.75">
      <c r="A49" s="3" t="s">
        <v>16</v>
      </c>
      <c r="B49" s="22">
        <v>6301.2</v>
      </c>
      <c r="C49" s="22">
        <v>0</v>
      </c>
      <c r="D49" s="67"/>
      <c r="E49" s="67"/>
      <c r="F49" s="67">
        <v>18</v>
      </c>
      <c r="G49" s="67"/>
      <c r="H49" s="67">
        <v>148.5</v>
      </c>
      <c r="I49" s="67">
        <v>2111.8</v>
      </c>
      <c r="J49" s="72"/>
      <c r="K49" s="67"/>
      <c r="L49" s="67"/>
      <c r="M49" s="72">
        <v>73.9</v>
      </c>
      <c r="N49" s="67"/>
      <c r="O49" s="71"/>
      <c r="P49" s="67">
        <v>131.3</v>
      </c>
      <c r="Q49" s="67"/>
      <c r="R49" s="67">
        <v>1879.3</v>
      </c>
      <c r="S49" s="72">
        <f>114.9+217.4</f>
        <v>332.3</v>
      </c>
      <c r="T49" s="72">
        <v>66.2</v>
      </c>
      <c r="U49" s="67">
        <v>14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4775.3</v>
      </c>
      <c r="AG49" s="72">
        <f>B49+C49-AF49</f>
        <v>1525.8999999999996</v>
      </c>
      <c r="AI49" s="6"/>
    </row>
    <row r="50" spans="1:35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72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I50" s="6"/>
    </row>
    <row r="51" spans="1:35" ht="15.75">
      <c r="A51" s="48" t="s">
        <v>23</v>
      </c>
      <c r="B51" s="22">
        <f aca="true" t="shared" si="10" ref="B51:AD51">B47-B48-B49</f>
        <v>1181</v>
      </c>
      <c r="C51" s="22">
        <v>101.40000000000055</v>
      </c>
      <c r="D51" s="67">
        <f t="shared" si="10"/>
        <v>0</v>
      </c>
      <c r="E51" s="67">
        <f t="shared" si="10"/>
        <v>10.2</v>
      </c>
      <c r="F51" s="67">
        <f t="shared" si="10"/>
        <v>0</v>
      </c>
      <c r="G51" s="67">
        <f t="shared" si="10"/>
        <v>0</v>
      </c>
      <c r="H51" s="67">
        <f t="shared" si="10"/>
        <v>0.09999999999999432</v>
      </c>
      <c r="I51" s="67">
        <f t="shared" si="10"/>
        <v>30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72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19.099999999999966</v>
      </c>
      <c r="T51" s="67">
        <f t="shared" si="10"/>
        <v>30.89999999999999</v>
      </c>
      <c r="U51" s="67">
        <f t="shared" si="10"/>
        <v>2.6000000000000014</v>
      </c>
      <c r="V51" s="67">
        <f t="shared" si="10"/>
        <v>48.3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141.19999999999993</v>
      </c>
      <c r="AG51" s="72">
        <f>AG47-AG49-AG48</f>
        <v>1039.7999999999993</v>
      </c>
      <c r="AI51" s="6"/>
    </row>
    <row r="52" spans="1:35" ht="15" customHeight="1">
      <c r="A52" s="4" t="s">
        <v>0</v>
      </c>
      <c r="B52" s="22">
        <f>6888.5-3200</f>
        <v>3688.5</v>
      </c>
      <c r="C52" s="22">
        <v>2082.9</v>
      </c>
      <c r="D52" s="67"/>
      <c r="E52" s="67"/>
      <c r="F52" s="67">
        <v>2.6</v>
      </c>
      <c r="G52" s="67"/>
      <c r="H52" s="67">
        <v>13.2</v>
      </c>
      <c r="I52" s="67">
        <v>66.6</v>
      </c>
      <c r="J52" s="72">
        <v>29.8</v>
      </c>
      <c r="K52" s="67">
        <v>815.4</v>
      </c>
      <c r="L52" s="67">
        <v>66.6</v>
      </c>
      <c r="M52" s="72">
        <v>46.7</v>
      </c>
      <c r="N52" s="67"/>
      <c r="O52" s="71"/>
      <c r="P52" s="67"/>
      <c r="Q52" s="67"/>
      <c r="R52" s="67"/>
      <c r="S52" s="72">
        <f>1198.1</f>
        <v>1198.1</v>
      </c>
      <c r="T52" s="72">
        <v>490.3</v>
      </c>
      <c r="U52" s="72">
        <v>154</v>
      </c>
      <c r="V52" s="72">
        <v>72.1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2955.4</v>
      </c>
      <c r="AG52" s="72">
        <f aca="true" t="shared" si="11" ref="AG52:AG59">B52+C52-AF52</f>
        <v>2815.9999999999995</v>
      </c>
      <c r="AI52" s="6"/>
    </row>
    <row r="53" spans="1:35" ht="15" customHeight="1">
      <c r="A53" s="3" t="s">
        <v>2</v>
      </c>
      <c r="B53" s="22">
        <f>2630.3-1800</f>
        <v>830.3000000000002</v>
      </c>
      <c r="C53" s="22">
        <v>1189</v>
      </c>
      <c r="D53" s="67"/>
      <c r="E53" s="67"/>
      <c r="F53" s="67">
        <v>2.6</v>
      </c>
      <c r="G53" s="67"/>
      <c r="H53" s="67"/>
      <c r="I53" s="67"/>
      <c r="J53" s="72"/>
      <c r="K53" s="67"/>
      <c r="L53" s="67"/>
      <c r="M53" s="72"/>
      <c r="N53" s="67"/>
      <c r="O53" s="71"/>
      <c r="P53" s="67"/>
      <c r="Q53" s="67"/>
      <c r="R53" s="67"/>
      <c r="S53" s="72">
        <v>598.7</v>
      </c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601.3000000000001</v>
      </c>
      <c r="AG53" s="72">
        <f t="shared" si="11"/>
        <v>1418</v>
      </c>
      <c r="AI53" s="6"/>
    </row>
    <row r="54" spans="1:35" ht="15" customHeight="1">
      <c r="A54" s="4" t="s">
        <v>9</v>
      </c>
      <c r="B54" s="36">
        <v>2626</v>
      </c>
      <c r="C54" s="22">
        <v>20.3</v>
      </c>
      <c r="D54" s="67"/>
      <c r="E54" s="67">
        <v>181.2</v>
      </c>
      <c r="F54" s="67"/>
      <c r="G54" s="67">
        <v>85.5</v>
      </c>
      <c r="H54" s="67"/>
      <c r="I54" s="67"/>
      <c r="J54" s="72">
        <v>20.9</v>
      </c>
      <c r="K54" s="67"/>
      <c r="L54" s="67">
        <v>137.9</v>
      </c>
      <c r="M54" s="72">
        <v>290.2</v>
      </c>
      <c r="N54" s="67">
        <v>173.8</v>
      </c>
      <c r="O54" s="71"/>
      <c r="P54" s="67"/>
      <c r="Q54" s="71">
        <v>53.1</v>
      </c>
      <c r="R54" s="67">
        <v>2.1</v>
      </c>
      <c r="S54" s="72">
        <v>1.1</v>
      </c>
      <c r="T54" s="72">
        <v>14</v>
      </c>
      <c r="U54" s="72">
        <v>954.2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1914</v>
      </c>
      <c r="AG54" s="72">
        <f t="shared" si="11"/>
        <v>732.3000000000002</v>
      </c>
      <c r="AH54" s="6"/>
      <c r="AI54" s="6"/>
    </row>
    <row r="55" spans="1:35" ht="15.75">
      <c r="A55" s="3" t="s">
        <v>5</v>
      </c>
      <c r="B55" s="22">
        <v>1176.1</v>
      </c>
      <c r="C55" s="22">
        <v>20.3</v>
      </c>
      <c r="D55" s="67"/>
      <c r="E55" s="67"/>
      <c r="F55" s="67"/>
      <c r="G55" s="67"/>
      <c r="H55" s="67"/>
      <c r="I55" s="67"/>
      <c r="J55" s="72"/>
      <c r="K55" s="67"/>
      <c r="L55" s="67">
        <v>77.4</v>
      </c>
      <c r="M55" s="72">
        <v>290.2</v>
      </c>
      <c r="N55" s="67"/>
      <c r="O55" s="71"/>
      <c r="P55" s="67"/>
      <c r="Q55" s="71"/>
      <c r="R55" s="67"/>
      <c r="S55" s="72"/>
      <c r="T55" s="72">
        <v>14</v>
      </c>
      <c r="U55" s="72">
        <v>629.4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1011</v>
      </c>
      <c r="AG55" s="72">
        <f t="shared" si="11"/>
        <v>185.39999999999986</v>
      </c>
      <c r="AH55" s="6"/>
      <c r="AI55" s="6"/>
    </row>
    <row r="56" spans="1:35" ht="15" customHeight="1">
      <c r="A56" s="3" t="s">
        <v>1</v>
      </c>
      <c r="B56" s="22"/>
      <c r="C56" s="22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72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  <c r="AI56" s="6"/>
    </row>
    <row r="57" spans="1:35" ht="15.75">
      <c r="A57" s="3" t="s">
        <v>2</v>
      </c>
      <c r="B57" s="29">
        <v>474.5</v>
      </c>
      <c r="C57" s="22">
        <v>0</v>
      </c>
      <c r="D57" s="67"/>
      <c r="E57" s="67"/>
      <c r="F57" s="67"/>
      <c r="G57" s="67"/>
      <c r="H57" s="67"/>
      <c r="I57" s="67"/>
      <c r="J57" s="72"/>
      <c r="K57" s="67"/>
      <c r="L57" s="67"/>
      <c r="M57" s="72"/>
      <c r="N57" s="67"/>
      <c r="O57" s="71"/>
      <c r="P57" s="67"/>
      <c r="Q57" s="71"/>
      <c r="R57" s="67"/>
      <c r="S57" s="72">
        <v>1.1</v>
      </c>
      <c r="T57" s="72"/>
      <c r="U57" s="72">
        <v>273.8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274.90000000000003</v>
      </c>
      <c r="AG57" s="72">
        <f t="shared" si="11"/>
        <v>199.59999999999997</v>
      </c>
      <c r="AI57" s="6"/>
    </row>
    <row r="58" spans="1:35" ht="15.75">
      <c r="A58" s="3" t="s">
        <v>16</v>
      </c>
      <c r="B58" s="29">
        <v>28.9</v>
      </c>
      <c r="C58" s="22">
        <v>0</v>
      </c>
      <c r="D58" s="67"/>
      <c r="E58" s="67"/>
      <c r="F58" s="67"/>
      <c r="G58" s="67"/>
      <c r="H58" s="67"/>
      <c r="I58" s="67"/>
      <c r="J58" s="72"/>
      <c r="K58" s="67"/>
      <c r="L58" s="67"/>
      <c r="M58" s="72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28.9</v>
      </c>
      <c r="AI58" s="6"/>
    </row>
    <row r="59" spans="1:35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72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I59" s="6"/>
    </row>
    <row r="60" spans="1:35" ht="15.75">
      <c r="A60" s="3" t="s">
        <v>23</v>
      </c>
      <c r="B60" s="22">
        <f aca="true" t="shared" si="12" ref="B60:AD60">B54-B55-B57-B59-B56-B58</f>
        <v>946.5000000000001</v>
      </c>
      <c r="C60" s="22">
        <v>540.3000000000002</v>
      </c>
      <c r="D60" s="67">
        <f t="shared" si="12"/>
        <v>0</v>
      </c>
      <c r="E60" s="67">
        <f t="shared" si="12"/>
        <v>181.2</v>
      </c>
      <c r="F60" s="67">
        <f t="shared" si="12"/>
        <v>0</v>
      </c>
      <c r="G60" s="67">
        <f t="shared" si="12"/>
        <v>85.5</v>
      </c>
      <c r="H60" s="67">
        <f t="shared" si="12"/>
        <v>0</v>
      </c>
      <c r="I60" s="67">
        <f t="shared" si="12"/>
        <v>0</v>
      </c>
      <c r="J60" s="67">
        <f t="shared" si="12"/>
        <v>20.9</v>
      </c>
      <c r="K60" s="67">
        <f t="shared" si="12"/>
        <v>0</v>
      </c>
      <c r="L60" s="67">
        <f t="shared" si="12"/>
        <v>60.5</v>
      </c>
      <c r="M60" s="72">
        <f t="shared" si="12"/>
        <v>0</v>
      </c>
      <c r="N60" s="67">
        <f t="shared" si="12"/>
        <v>173.8</v>
      </c>
      <c r="O60" s="67">
        <f t="shared" si="12"/>
        <v>0</v>
      </c>
      <c r="P60" s="67">
        <f t="shared" si="12"/>
        <v>0</v>
      </c>
      <c r="Q60" s="67">
        <f t="shared" si="12"/>
        <v>53.1</v>
      </c>
      <c r="R60" s="67">
        <f t="shared" si="12"/>
        <v>2.1</v>
      </c>
      <c r="S60" s="67">
        <f t="shared" si="12"/>
        <v>0</v>
      </c>
      <c r="T60" s="67">
        <f t="shared" si="12"/>
        <v>0</v>
      </c>
      <c r="U60" s="67">
        <f t="shared" si="12"/>
        <v>51.00000000000006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628.0999999999999</v>
      </c>
      <c r="AG60" s="72">
        <f>AG54-AG55-AG57-AG59-AG56-AG58</f>
        <v>318.4000000000004</v>
      </c>
      <c r="AI60" s="6"/>
    </row>
    <row r="61" spans="1:35" ht="15" customHeight="1">
      <c r="A61" s="4" t="s">
        <v>10</v>
      </c>
      <c r="B61" s="22">
        <v>80</v>
      </c>
      <c r="C61" s="22"/>
      <c r="D61" s="67"/>
      <c r="E61" s="67"/>
      <c r="F61" s="67"/>
      <c r="G61" s="67"/>
      <c r="H61" s="67">
        <v>9.7</v>
      </c>
      <c r="I61" s="67"/>
      <c r="J61" s="72">
        <v>7.2</v>
      </c>
      <c r="K61" s="67"/>
      <c r="L61" s="67"/>
      <c r="M61" s="72"/>
      <c r="N61" s="67"/>
      <c r="O61" s="71">
        <v>11.6</v>
      </c>
      <c r="P61" s="67"/>
      <c r="Q61" s="71"/>
      <c r="R61" s="67"/>
      <c r="S61" s="72">
        <v>18.4</v>
      </c>
      <c r="T61" s="72"/>
      <c r="U61" s="72">
        <v>18.7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65.6</v>
      </c>
      <c r="AG61" s="72">
        <f aca="true" t="shared" si="14" ref="AG61:AG67">B61+C61-AF61</f>
        <v>14.400000000000006</v>
      </c>
      <c r="AI61" s="6"/>
    </row>
    <row r="62" spans="1:35" ht="15" customHeight="1">
      <c r="A62" s="4" t="s">
        <v>11</v>
      </c>
      <c r="B62" s="22">
        <v>5195.5</v>
      </c>
      <c r="C62" s="22">
        <v>77.2</v>
      </c>
      <c r="D62" s="67"/>
      <c r="E62" s="67"/>
      <c r="F62" s="67"/>
      <c r="G62" s="67">
        <v>9.6</v>
      </c>
      <c r="H62" s="67">
        <v>17.1</v>
      </c>
      <c r="I62" s="67"/>
      <c r="J62" s="72">
        <v>0.3</v>
      </c>
      <c r="K62" s="67">
        <v>1056.5</v>
      </c>
      <c r="L62" s="67">
        <v>185.3</v>
      </c>
      <c r="M62" s="72"/>
      <c r="N62" s="67"/>
      <c r="O62" s="71">
        <v>56.2</v>
      </c>
      <c r="P62" s="67"/>
      <c r="Q62" s="71"/>
      <c r="R62" s="67">
        <v>95</v>
      </c>
      <c r="S62" s="72"/>
      <c r="T62" s="72">
        <v>1327.2</v>
      </c>
      <c r="U62" s="72">
        <v>403.4</v>
      </c>
      <c r="V62" s="72">
        <v>2.3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3152.9</v>
      </c>
      <c r="AG62" s="72">
        <f t="shared" si="14"/>
        <v>2119.7999999999997</v>
      </c>
      <c r="AI62" s="6"/>
    </row>
    <row r="63" spans="1:35" ht="15.75">
      <c r="A63" s="3" t="s">
        <v>5</v>
      </c>
      <c r="B63" s="22">
        <v>2456.9</v>
      </c>
      <c r="C63" s="22">
        <v>0.1</v>
      </c>
      <c r="D63" s="67"/>
      <c r="E63" s="67"/>
      <c r="F63" s="67"/>
      <c r="G63" s="67"/>
      <c r="H63" s="67"/>
      <c r="I63" s="67"/>
      <c r="J63" s="72"/>
      <c r="K63" s="67">
        <v>865.2</v>
      </c>
      <c r="L63" s="67"/>
      <c r="M63" s="72"/>
      <c r="N63" s="67"/>
      <c r="O63" s="71"/>
      <c r="P63" s="67"/>
      <c r="Q63" s="71"/>
      <c r="R63" s="67"/>
      <c r="S63" s="72"/>
      <c r="T63" s="72">
        <v>984.4</v>
      </c>
      <c r="U63" s="72">
        <v>270.7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2120.2999999999997</v>
      </c>
      <c r="AG63" s="72">
        <f t="shared" si="14"/>
        <v>336.7000000000003</v>
      </c>
      <c r="AH63" s="50"/>
      <c r="AI63" s="6"/>
    </row>
    <row r="64" spans="1:35" ht="15.75" hidden="1">
      <c r="A64" s="3" t="s">
        <v>3</v>
      </c>
      <c r="B64" s="22"/>
      <c r="C64" s="2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72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  <c r="AI64" s="6"/>
    </row>
    <row r="65" spans="1:35" ht="15.75">
      <c r="A65" s="3" t="s">
        <v>1</v>
      </c>
      <c r="B65" s="22">
        <v>359.2</v>
      </c>
      <c r="C65" s="22">
        <v>42.8</v>
      </c>
      <c r="D65" s="67"/>
      <c r="E65" s="67"/>
      <c r="F65" s="67"/>
      <c r="G65" s="67">
        <v>9.6</v>
      </c>
      <c r="H65" s="67">
        <v>11.4</v>
      </c>
      <c r="I65" s="67"/>
      <c r="J65" s="72"/>
      <c r="K65" s="67"/>
      <c r="L65" s="67">
        <v>10.1</v>
      </c>
      <c r="M65" s="72"/>
      <c r="N65" s="67"/>
      <c r="O65" s="71">
        <v>24.7</v>
      </c>
      <c r="P65" s="67"/>
      <c r="Q65" s="71"/>
      <c r="R65" s="67">
        <v>6.6</v>
      </c>
      <c r="S65" s="72"/>
      <c r="T65" s="72"/>
      <c r="U65" s="72">
        <v>7.8</v>
      </c>
      <c r="V65" s="72">
        <v>2.3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72.5</v>
      </c>
      <c r="AG65" s="72">
        <f t="shared" si="14"/>
        <v>329.5</v>
      </c>
      <c r="AH65" s="6"/>
      <c r="AI65" s="6"/>
    </row>
    <row r="66" spans="1:35" ht="15.75">
      <c r="A66" s="3" t="s">
        <v>2</v>
      </c>
      <c r="B66" s="22">
        <v>320.7</v>
      </c>
      <c r="C66" s="22"/>
      <c r="D66" s="67"/>
      <c r="E66" s="67"/>
      <c r="F66" s="67"/>
      <c r="G66" s="67"/>
      <c r="H66" s="67"/>
      <c r="I66" s="67"/>
      <c r="J66" s="72">
        <v>0.3</v>
      </c>
      <c r="K66" s="67"/>
      <c r="L66" s="67">
        <v>1.2</v>
      </c>
      <c r="M66" s="72"/>
      <c r="N66" s="67"/>
      <c r="O66" s="71">
        <v>21.4</v>
      </c>
      <c r="P66" s="67"/>
      <c r="Q66" s="67"/>
      <c r="R66" s="67">
        <v>80.5</v>
      </c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103.4</v>
      </c>
      <c r="AG66" s="72">
        <f t="shared" si="14"/>
        <v>217.29999999999998</v>
      </c>
      <c r="AI66" s="6"/>
    </row>
    <row r="67" spans="1:35" ht="15.75">
      <c r="A67" s="3" t="s">
        <v>16</v>
      </c>
      <c r="B67" s="22">
        <v>580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72"/>
      <c r="N67" s="67"/>
      <c r="O67" s="67"/>
      <c r="P67" s="67"/>
      <c r="Q67" s="67"/>
      <c r="R67" s="67"/>
      <c r="S67" s="72"/>
      <c r="T67" s="72">
        <v>227</v>
      </c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227</v>
      </c>
      <c r="AG67" s="72">
        <f t="shared" si="14"/>
        <v>353</v>
      </c>
      <c r="AI67" s="6"/>
    </row>
    <row r="68" spans="1:35" ht="15.75">
      <c r="A68" s="3" t="s">
        <v>23</v>
      </c>
      <c r="B68" s="22">
        <f aca="true" t="shared" si="15" ref="B68:AD68">B62-B63-B66-B67-B65-B64</f>
        <v>1478.7</v>
      </c>
      <c r="C68" s="22">
        <v>411.9999999999999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5.700000000000001</v>
      </c>
      <c r="I68" s="67">
        <f t="shared" si="15"/>
        <v>0</v>
      </c>
      <c r="J68" s="67">
        <f t="shared" si="15"/>
        <v>0</v>
      </c>
      <c r="K68" s="67">
        <f t="shared" si="15"/>
        <v>191.29999999999995</v>
      </c>
      <c r="L68" s="67">
        <f t="shared" si="15"/>
        <v>174.00000000000003</v>
      </c>
      <c r="M68" s="72">
        <f t="shared" si="15"/>
        <v>0</v>
      </c>
      <c r="N68" s="67">
        <f t="shared" si="15"/>
        <v>0</v>
      </c>
      <c r="O68" s="67">
        <f t="shared" si="15"/>
        <v>10.100000000000005</v>
      </c>
      <c r="P68" s="67">
        <f t="shared" si="15"/>
        <v>0</v>
      </c>
      <c r="Q68" s="67">
        <f t="shared" si="15"/>
        <v>0</v>
      </c>
      <c r="R68" s="67">
        <f t="shared" si="15"/>
        <v>7.9</v>
      </c>
      <c r="S68" s="67">
        <f t="shared" si="15"/>
        <v>0</v>
      </c>
      <c r="T68" s="67">
        <f t="shared" si="15"/>
        <v>115.80000000000007</v>
      </c>
      <c r="U68" s="67">
        <f t="shared" si="15"/>
        <v>124.89999999999999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629.7</v>
      </c>
      <c r="AG68" s="72">
        <f>AG62-AG63-AG66-AG67-AG65-AG64</f>
        <v>883.2999999999995</v>
      </c>
      <c r="AI68" s="6"/>
    </row>
    <row r="69" spans="1:35" ht="31.5">
      <c r="A69" s="4" t="s">
        <v>45</v>
      </c>
      <c r="B69" s="22">
        <v>2404.4</v>
      </c>
      <c r="C69" s="22">
        <v>2.1</v>
      </c>
      <c r="D69" s="67"/>
      <c r="E69" s="67"/>
      <c r="F69" s="67">
        <v>585.9</v>
      </c>
      <c r="G69" s="67"/>
      <c r="H69" s="67"/>
      <c r="I69" s="67"/>
      <c r="J69" s="72"/>
      <c r="K69" s="67"/>
      <c r="L69" s="67"/>
      <c r="M69" s="72">
        <v>900.5</v>
      </c>
      <c r="N69" s="67"/>
      <c r="O69" s="67"/>
      <c r="P69" s="67"/>
      <c r="Q69" s="67"/>
      <c r="R69" s="67"/>
      <c r="S69" s="72">
        <v>901.8</v>
      </c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2388.2</v>
      </c>
      <c r="AG69" s="89">
        <f aca="true" t="shared" si="16" ref="AG69:AG92">B69+C69-AF69</f>
        <v>18.300000000000182</v>
      </c>
      <c r="AI69" s="6"/>
    </row>
    <row r="70" spans="1:35" ht="15.75" hidden="1">
      <c r="A70" s="4" t="s">
        <v>32</v>
      </c>
      <c r="B70" s="22"/>
      <c r="C70" s="2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72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9">
        <f t="shared" si="16"/>
        <v>0</v>
      </c>
      <c r="AI70" s="6"/>
    </row>
    <row r="71" spans="1:50" ht="31.5">
      <c r="A71" s="4" t="s">
        <v>46</v>
      </c>
      <c r="B71" s="22">
        <v>1399.4</v>
      </c>
      <c r="C71" s="24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80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9">
        <f t="shared" si="16"/>
        <v>1399.4</v>
      </c>
      <c r="AH71" s="14"/>
      <c r="AI71" s="6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5" ht="15" customHeight="1">
      <c r="A72" s="4" t="s">
        <v>47</v>
      </c>
      <c r="B72" s="36">
        <f>2685.4-57.4</f>
        <v>2628</v>
      </c>
      <c r="C72" s="22">
        <v>95.7</v>
      </c>
      <c r="D72" s="67"/>
      <c r="E72" s="67">
        <v>80.5</v>
      </c>
      <c r="F72" s="67">
        <v>153.4</v>
      </c>
      <c r="G72" s="67"/>
      <c r="H72" s="67">
        <f>141.9+0.1</f>
        <v>142</v>
      </c>
      <c r="I72" s="67"/>
      <c r="J72" s="72"/>
      <c r="K72" s="67">
        <v>2.8</v>
      </c>
      <c r="L72" s="67">
        <v>3.2</v>
      </c>
      <c r="M72" s="72">
        <v>0.3</v>
      </c>
      <c r="N72" s="67">
        <v>34.1</v>
      </c>
      <c r="O72" s="67"/>
      <c r="P72" s="67"/>
      <c r="Q72" s="71">
        <v>10.4</v>
      </c>
      <c r="R72" s="67">
        <v>80.9</v>
      </c>
      <c r="S72" s="72">
        <f>1520.1-901.8</f>
        <v>618.3</v>
      </c>
      <c r="T72" s="72">
        <v>51.7</v>
      </c>
      <c r="U72" s="72">
        <f>223.5-88.9</f>
        <v>134.6</v>
      </c>
      <c r="V72" s="72">
        <v>16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1328.2</v>
      </c>
      <c r="AG72" s="89">
        <f t="shared" si="16"/>
        <v>1395.4999999999998</v>
      </c>
      <c r="AI72" s="6"/>
    </row>
    <row r="73" spans="1:35" ht="15" customHeight="1">
      <c r="A73" s="3" t="s">
        <v>5</v>
      </c>
      <c r="B73" s="22">
        <v>161</v>
      </c>
      <c r="C73" s="22">
        <v>0.1</v>
      </c>
      <c r="D73" s="67"/>
      <c r="E73" s="67">
        <v>80.5</v>
      </c>
      <c r="F73" s="67"/>
      <c r="G73" s="67"/>
      <c r="H73" s="67"/>
      <c r="I73" s="67"/>
      <c r="J73" s="72"/>
      <c r="K73" s="67"/>
      <c r="L73" s="67"/>
      <c r="M73" s="72"/>
      <c r="N73" s="67"/>
      <c r="O73" s="67"/>
      <c r="P73" s="67"/>
      <c r="Q73" s="71"/>
      <c r="R73" s="67"/>
      <c r="S73" s="72"/>
      <c r="T73" s="72"/>
      <c r="U73" s="72">
        <v>80.5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161</v>
      </c>
      <c r="AG73" s="89">
        <f t="shared" si="16"/>
        <v>0.09999999999999432</v>
      </c>
      <c r="AI73" s="6"/>
    </row>
    <row r="74" spans="1:35" ht="15" customHeight="1">
      <c r="A74" s="3" t="s">
        <v>2</v>
      </c>
      <c r="B74" s="22">
        <f>113.9+333.4</f>
        <v>447.29999999999995</v>
      </c>
      <c r="C74" s="22"/>
      <c r="D74" s="67"/>
      <c r="E74" s="67"/>
      <c r="F74" s="67">
        <v>2.4</v>
      </c>
      <c r="G74" s="67"/>
      <c r="H74" s="67">
        <f>0.4+138.5</f>
        <v>138.9</v>
      </c>
      <c r="I74" s="67"/>
      <c r="J74" s="72"/>
      <c r="K74" s="67"/>
      <c r="L74" s="67">
        <v>0.9</v>
      </c>
      <c r="M74" s="72"/>
      <c r="N74" s="67">
        <v>33.1</v>
      </c>
      <c r="O74" s="67"/>
      <c r="P74" s="67"/>
      <c r="Q74" s="71"/>
      <c r="R74" s="67">
        <v>80.9</v>
      </c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256.20000000000005</v>
      </c>
      <c r="AG74" s="89">
        <f t="shared" si="16"/>
        <v>191.0999999999999</v>
      </c>
      <c r="AI74" s="6"/>
    </row>
    <row r="75" spans="1:35" ht="15" customHeight="1">
      <c r="A75" s="3" t="s">
        <v>16</v>
      </c>
      <c r="B75" s="22">
        <v>59.6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72"/>
      <c r="N75" s="67"/>
      <c r="O75" s="67"/>
      <c r="P75" s="67"/>
      <c r="Q75" s="71"/>
      <c r="R75" s="67"/>
      <c r="S75" s="72">
        <v>48</v>
      </c>
      <c r="T75" s="72"/>
      <c r="U75" s="72">
        <v>7.7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55.7</v>
      </c>
      <c r="AG75" s="89">
        <f t="shared" si="16"/>
        <v>3.8999999999999986</v>
      </c>
      <c r="AI75" s="6"/>
    </row>
    <row r="76" spans="1:35" s="11" customFormat="1" ht="15.75">
      <c r="A76" s="12" t="s">
        <v>48</v>
      </c>
      <c r="B76" s="22">
        <f>188.3</f>
        <v>188.3</v>
      </c>
      <c r="C76" s="22">
        <v>13.1</v>
      </c>
      <c r="D76" s="67"/>
      <c r="E76" s="79"/>
      <c r="F76" s="79"/>
      <c r="G76" s="79"/>
      <c r="H76" s="79"/>
      <c r="I76" s="79"/>
      <c r="J76" s="80"/>
      <c r="K76" s="79">
        <v>61.4</v>
      </c>
      <c r="L76" s="79"/>
      <c r="M76" s="80"/>
      <c r="N76" s="79"/>
      <c r="O76" s="79"/>
      <c r="P76" s="79">
        <v>1.9</v>
      </c>
      <c r="Q76" s="81"/>
      <c r="R76" s="79"/>
      <c r="S76" s="80"/>
      <c r="T76" s="80"/>
      <c r="U76" s="79">
        <v>88.9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152.2</v>
      </c>
      <c r="AG76" s="89">
        <f t="shared" si="16"/>
        <v>49.20000000000002</v>
      </c>
      <c r="AI76" s="6"/>
    </row>
    <row r="77" spans="1:35" s="11" customFormat="1" ht="15.75">
      <c r="A77" s="3" t="s">
        <v>5</v>
      </c>
      <c r="B77" s="22">
        <v>140.3</v>
      </c>
      <c r="C77" s="22">
        <v>1.8000000000000114</v>
      </c>
      <c r="D77" s="67"/>
      <c r="E77" s="79"/>
      <c r="F77" s="79"/>
      <c r="G77" s="79"/>
      <c r="H77" s="79"/>
      <c r="I77" s="79"/>
      <c r="J77" s="80"/>
      <c r="K77" s="79">
        <v>51.9</v>
      </c>
      <c r="L77" s="79"/>
      <c r="M77" s="80"/>
      <c r="N77" s="79"/>
      <c r="O77" s="79"/>
      <c r="P77" s="79"/>
      <c r="Q77" s="81"/>
      <c r="R77" s="79"/>
      <c r="S77" s="80"/>
      <c r="T77" s="80"/>
      <c r="U77" s="79">
        <v>81.4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133.3</v>
      </c>
      <c r="AG77" s="89">
        <f t="shared" si="16"/>
        <v>8.800000000000011</v>
      </c>
      <c r="AI77" s="6"/>
    </row>
    <row r="78" spans="1:35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80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9">
        <f t="shared" si="16"/>
        <v>0</v>
      </c>
      <c r="AI78" s="6"/>
    </row>
    <row r="79" spans="1:35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80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9">
        <f t="shared" si="16"/>
        <v>0</v>
      </c>
      <c r="AI79" s="6"/>
    </row>
    <row r="80" spans="1:35" s="11" customFormat="1" ht="15.75">
      <c r="A80" s="3" t="s">
        <v>2</v>
      </c>
      <c r="B80" s="22">
        <v>8.4</v>
      </c>
      <c r="C80" s="22">
        <v>9.3</v>
      </c>
      <c r="D80" s="67"/>
      <c r="E80" s="79"/>
      <c r="F80" s="79"/>
      <c r="G80" s="79"/>
      <c r="H80" s="79"/>
      <c r="I80" s="79"/>
      <c r="J80" s="80"/>
      <c r="K80" s="79">
        <v>9.3</v>
      </c>
      <c r="L80" s="79"/>
      <c r="M80" s="80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9.3</v>
      </c>
      <c r="AG80" s="89">
        <f t="shared" si="16"/>
        <v>8.400000000000002</v>
      </c>
      <c r="AI80" s="6"/>
    </row>
    <row r="81" spans="1:35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80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9">
        <f t="shared" si="16"/>
        <v>0</v>
      </c>
      <c r="AI81" s="6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 hidden="1">
      <c r="A88" s="4" t="s">
        <v>44</v>
      </c>
      <c r="B88" s="22"/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  <c r="AI88" s="6"/>
    </row>
    <row r="89" spans="1:35" ht="15.75">
      <c r="A89" s="4" t="s">
        <v>50</v>
      </c>
      <c r="B89" s="22">
        <f>8854.6+9000</f>
        <v>17854.6</v>
      </c>
      <c r="C89" s="22">
        <v>122.9</v>
      </c>
      <c r="D89" s="67"/>
      <c r="E89" s="67">
        <v>376.7</v>
      </c>
      <c r="F89" s="67">
        <v>1013.1</v>
      </c>
      <c r="G89" s="67">
        <v>85.7</v>
      </c>
      <c r="H89" s="67"/>
      <c r="I89" s="67"/>
      <c r="J89" s="67"/>
      <c r="K89" s="67">
        <v>519.6</v>
      </c>
      <c r="L89" s="67">
        <v>3989.1</v>
      </c>
      <c r="M89" s="72"/>
      <c r="N89" s="67"/>
      <c r="O89" s="67"/>
      <c r="P89" s="67"/>
      <c r="Q89" s="67">
        <v>192.1</v>
      </c>
      <c r="R89" s="67"/>
      <c r="S89" s="72"/>
      <c r="T89" s="72">
        <v>9596.7</v>
      </c>
      <c r="U89" s="67"/>
      <c r="V89" s="67">
        <v>54.9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15827.9</v>
      </c>
      <c r="AG89" s="72">
        <f t="shared" si="16"/>
        <v>2149.6000000000004</v>
      </c>
      <c r="AH89" s="11"/>
      <c r="AI89" s="6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>
        <v>1886.8</v>
      </c>
      <c r="J90" s="67"/>
      <c r="K90" s="67"/>
      <c r="L90" s="67"/>
      <c r="M90" s="72"/>
      <c r="N90" s="67"/>
      <c r="O90" s="67"/>
      <c r="P90" s="67"/>
      <c r="Q90" s="67">
        <v>1886.8</v>
      </c>
      <c r="R90" s="67"/>
      <c r="S90" s="72"/>
      <c r="T90" s="72"/>
      <c r="U90" s="67"/>
      <c r="V90" s="67"/>
      <c r="W90" s="67">
        <v>1886.8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v>833.3</v>
      </c>
      <c r="C91" s="22">
        <v>833.4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1666.6999999999998</v>
      </c>
      <c r="AH91" s="11"/>
      <c r="AI91" s="6"/>
    </row>
    <row r="92" spans="1:34" ht="15.75">
      <c r="A92" s="4" t="s">
        <v>37</v>
      </c>
      <c r="B92" s="22">
        <f>46563.6-5800</f>
        <v>40763.6</v>
      </c>
      <c r="C92" s="22">
        <v>9702</v>
      </c>
      <c r="D92" s="67"/>
      <c r="E92" s="67">
        <v>3512</v>
      </c>
      <c r="F92" s="67">
        <v>6190</v>
      </c>
      <c r="G92" s="67"/>
      <c r="H92" s="67"/>
      <c r="I92" s="67"/>
      <c r="J92" s="67"/>
      <c r="K92" s="67"/>
      <c r="L92" s="67"/>
      <c r="M92" s="72"/>
      <c r="N92" s="67"/>
      <c r="O92" s="67">
        <v>30405.7</v>
      </c>
      <c r="P92" s="67">
        <v>10266.3</v>
      </c>
      <c r="Q92" s="67">
        <v>91.6</v>
      </c>
      <c r="R92" s="67"/>
      <c r="S92" s="72"/>
      <c r="T92" s="72"/>
      <c r="U92" s="67">
        <v>-29196.2</v>
      </c>
      <c r="V92" s="67">
        <v>1482.1</v>
      </c>
      <c r="W92" s="67">
        <v>9293.3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32044.799999999996</v>
      </c>
      <c r="AG92" s="72">
        <f t="shared" si="16"/>
        <v>18420.800000000003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263305.19999999995</v>
      </c>
      <c r="C94" s="35">
        <f t="shared" si="17"/>
        <v>13399.5</v>
      </c>
      <c r="D94" s="82">
        <f t="shared" si="17"/>
        <v>2676.8</v>
      </c>
      <c r="E94" s="82">
        <f t="shared" si="17"/>
        <v>4237.9</v>
      </c>
      <c r="F94" s="82">
        <f t="shared" si="17"/>
        <v>8216.3</v>
      </c>
      <c r="G94" s="82">
        <f t="shared" si="17"/>
        <v>427.90000000000003</v>
      </c>
      <c r="H94" s="82">
        <f t="shared" si="17"/>
        <v>4034.2999999999993</v>
      </c>
      <c r="I94" s="82">
        <f t="shared" si="17"/>
        <v>4522.3</v>
      </c>
      <c r="J94" s="82">
        <f t="shared" si="17"/>
        <v>1450.8</v>
      </c>
      <c r="K94" s="82">
        <f t="shared" si="17"/>
        <v>3769.4</v>
      </c>
      <c r="L94" s="82">
        <f t="shared" si="17"/>
        <v>33857.399999999994</v>
      </c>
      <c r="M94" s="91">
        <f t="shared" si="17"/>
        <v>13450.9</v>
      </c>
      <c r="N94" s="82">
        <f t="shared" si="17"/>
        <v>7202.000000000001</v>
      </c>
      <c r="O94" s="82">
        <f t="shared" si="17"/>
        <v>30524.5</v>
      </c>
      <c r="P94" s="82">
        <f t="shared" si="17"/>
        <v>10666.5</v>
      </c>
      <c r="Q94" s="82">
        <f t="shared" si="17"/>
        <v>2269.2</v>
      </c>
      <c r="R94" s="82">
        <f t="shared" si="17"/>
        <v>5957.1</v>
      </c>
      <c r="S94" s="82">
        <f t="shared" si="17"/>
        <v>4598.900000000001</v>
      </c>
      <c r="T94" s="82">
        <f t="shared" si="17"/>
        <v>32024.6</v>
      </c>
      <c r="U94" s="82">
        <f t="shared" si="17"/>
        <v>16639.699999999986</v>
      </c>
      <c r="V94" s="82">
        <f t="shared" si="17"/>
        <v>5279.5</v>
      </c>
      <c r="W94" s="82">
        <f t="shared" si="17"/>
        <v>11099.8</v>
      </c>
      <c r="X94" s="82">
        <f t="shared" si="17"/>
        <v>0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202905.8</v>
      </c>
      <c r="AG94" s="83">
        <f>AG10+AG15+AG24+AG33+AG47+AG52+AG54+AG61+AG62+AG69+AG71+AG72+AG76+AG81+AG82+AG83+AG88+AG89+AG90+AG91+AG70+AG40+AG92</f>
        <v>73798.90000000001</v>
      </c>
    </row>
    <row r="95" spans="1:33" ht="15.75">
      <c r="A95" s="3" t="s">
        <v>5</v>
      </c>
      <c r="B95" s="22">
        <f aca="true" t="shared" si="18" ref="B95:AD95">B11+B17+B26+B34+B55+B63+B73+B41+B77+B48</f>
        <v>85905.40000000001</v>
      </c>
      <c r="C95" s="22">
        <f t="shared" si="18"/>
        <v>371.00000000000006</v>
      </c>
      <c r="D95" s="67">
        <f t="shared" si="18"/>
        <v>2676.8</v>
      </c>
      <c r="E95" s="67">
        <f t="shared" si="18"/>
        <v>124.4</v>
      </c>
      <c r="F95" s="67">
        <f t="shared" si="18"/>
        <v>0.3</v>
      </c>
      <c r="G95" s="67">
        <f t="shared" si="18"/>
        <v>122</v>
      </c>
      <c r="H95" s="67">
        <f t="shared" si="18"/>
        <v>101.30000000000001</v>
      </c>
      <c r="I95" s="67">
        <f t="shared" si="18"/>
        <v>0</v>
      </c>
      <c r="J95" s="67">
        <f t="shared" si="18"/>
        <v>575.3</v>
      </c>
      <c r="K95" s="67">
        <f t="shared" si="18"/>
        <v>2143.8</v>
      </c>
      <c r="L95" s="67">
        <f t="shared" si="18"/>
        <v>29207</v>
      </c>
      <c r="M95" s="72">
        <f t="shared" si="18"/>
        <v>1947.8</v>
      </c>
      <c r="N95" s="67">
        <f t="shared" si="18"/>
        <v>0</v>
      </c>
      <c r="O95" s="67">
        <f t="shared" si="18"/>
        <v>10</v>
      </c>
      <c r="P95" s="67">
        <f t="shared" si="18"/>
        <v>0</v>
      </c>
      <c r="Q95" s="67">
        <f t="shared" si="18"/>
        <v>5.7</v>
      </c>
      <c r="R95" s="67">
        <f t="shared" si="18"/>
        <v>0</v>
      </c>
      <c r="S95" s="67">
        <f t="shared" si="18"/>
        <v>0</v>
      </c>
      <c r="T95" s="67">
        <f t="shared" si="18"/>
        <v>2747.5</v>
      </c>
      <c r="U95" s="67">
        <f t="shared" si="18"/>
        <v>40282.8</v>
      </c>
      <c r="V95" s="67">
        <f t="shared" si="18"/>
        <v>1997.5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81942.20000000001</v>
      </c>
      <c r="AG95" s="71">
        <f>B95+C95-AF95</f>
        <v>4334.199999999997</v>
      </c>
    </row>
    <row r="96" spans="1:33" ht="15.75">
      <c r="A96" s="3" t="s">
        <v>2</v>
      </c>
      <c r="B96" s="22">
        <f aca="true" t="shared" si="19" ref="B96:AD96">B12+B20+B29+B36+B57+B66+B44+B80+B74+B53</f>
        <v>38485.5</v>
      </c>
      <c r="C96" s="22">
        <f t="shared" si="19"/>
        <v>1263.3</v>
      </c>
      <c r="D96" s="67">
        <f t="shared" si="19"/>
        <v>0</v>
      </c>
      <c r="E96" s="67">
        <f t="shared" si="19"/>
        <v>0</v>
      </c>
      <c r="F96" s="67">
        <f t="shared" si="19"/>
        <v>5</v>
      </c>
      <c r="G96" s="67">
        <f t="shared" si="19"/>
        <v>95.6</v>
      </c>
      <c r="H96" s="67">
        <f t="shared" si="19"/>
        <v>1626.8000000000002</v>
      </c>
      <c r="I96" s="67">
        <f t="shared" si="19"/>
        <v>161.1</v>
      </c>
      <c r="J96" s="67">
        <f t="shared" si="19"/>
        <v>447</v>
      </c>
      <c r="K96" s="67">
        <f t="shared" si="19"/>
        <v>9.3</v>
      </c>
      <c r="L96" s="67">
        <f t="shared" si="19"/>
        <v>273.29999999999995</v>
      </c>
      <c r="M96" s="72">
        <f t="shared" si="19"/>
        <v>143.2</v>
      </c>
      <c r="N96" s="67">
        <f t="shared" si="19"/>
        <v>2100.7</v>
      </c>
      <c r="O96" s="67">
        <f t="shared" si="19"/>
        <v>28.5</v>
      </c>
      <c r="P96" s="67">
        <f t="shared" si="19"/>
        <v>86</v>
      </c>
      <c r="Q96" s="67">
        <f t="shared" si="19"/>
        <v>0.7</v>
      </c>
      <c r="R96" s="67">
        <f t="shared" si="19"/>
        <v>3238.6</v>
      </c>
      <c r="S96" s="67">
        <f t="shared" si="19"/>
        <v>599.8000000000001</v>
      </c>
      <c r="T96" s="67">
        <f t="shared" si="19"/>
        <v>2295.4</v>
      </c>
      <c r="U96" s="67">
        <f t="shared" si="19"/>
        <v>4484.900000000001</v>
      </c>
      <c r="V96" s="67">
        <f t="shared" si="19"/>
        <v>1224.9</v>
      </c>
      <c r="W96" s="67">
        <f t="shared" si="19"/>
        <v>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16821.899999999998</v>
      </c>
      <c r="AG96" s="71">
        <f>B96+C96-AF96</f>
        <v>22926.900000000005</v>
      </c>
    </row>
    <row r="97" spans="1:33" ht="15.75">
      <c r="A97" s="3" t="s">
        <v>3</v>
      </c>
      <c r="B97" s="22">
        <f aca="true" t="shared" si="20" ref="B97:AA97">B18+B27+B42+B64+B78</f>
        <v>16.3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16.3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16.3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8190.9</v>
      </c>
      <c r="C98" s="22">
        <f t="shared" si="21"/>
        <v>42.9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9.6</v>
      </c>
      <c r="H98" s="67">
        <f t="shared" si="21"/>
        <v>1195.2</v>
      </c>
      <c r="I98" s="67">
        <f t="shared" si="21"/>
        <v>262</v>
      </c>
      <c r="J98" s="67">
        <f t="shared" si="21"/>
        <v>357.1</v>
      </c>
      <c r="K98" s="67">
        <f t="shared" si="21"/>
        <v>64</v>
      </c>
      <c r="L98" s="67">
        <f t="shared" si="21"/>
        <v>65.9</v>
      </c>
      <c r="M98" s="72">
        <f t="shared" si="21"/>
        <v>133.7</v>
      </c>
      <c r="N98" s="67">
        <f t="shared" si="21"/>
        <v>449.5</v>
      </c>
      <c r="O98" s="67">
        <f t="shared" si="21"/>
        <v>24.7</v>
      </c>
      <c r="P98" s="67">
        <f t="shared" si="21"/>
        <v>46.4</v>
      </c>
      <c r="Q98" s="67">
        <f t="shared" si="21"/>
        <v>0</v>
      </c>
      <c r="R98" s="67">
        <f t="shared" si="21"/>
        <v>231.5</v>
      </c>
      <c r="S98" s="67">
        <f t="shared" si="21"/>
        <v>741.1</v>
      </c>
      <c r="T98" s="67">
        <f t="shared" si="21"/>
        <v>480.5</v>
      </c>
      <c r="U98" s="67">
        <f t="shared" si="21"/>
        <v>390.40000000000003</v>
      </c>
      <c r="V98" s="67">
        <f t="shared" si="21"/>
        <v>2.3</v>
      </c>
      <c r="W98" s="67">
        <f t="shared" si="21"/>
        <v>-93.5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4360.4</v>
      </c>
      <c r="AG98" s="71">
        <f>B98+C98-AF98</f>
        <v>3873.3999999999996</v>
      </c>
    </row>
    <row r="99" spans="1:33" ht="15.75">
      <c r="A99" s="3" t="s">
        <v>16</v>
      </c>
      <c r="B99" s="22">
        <f aca="true" t="shared" si="22" ref="B99:X99">B21+B30+B49+B37+B58+B13+B75+B67</f>
        <v>8287.5</v>
      </c>
      <c r="C99" s="22">
        <f t="shared" si="22"/>
        <v>0</v>
      </c>
      <c r="D99" s="67">
        <f t="shared" si="22"/>
        <v>0</v>
      </c>
      <c r="E99" s="67">
        <f t="shared" si="22"/>
        <v>0</v>
      </c>
      <c r="F99" s="67">
        <f t="shared" si="22"/>
        <v>18</v>
      </c>
      <c r="G99" s="67">
        <f t="shared" si="22"/>
        <v>0</v>
      </c>
      <c r="H99" s="67">
        <f t="shared" si="22"/>
        <v>148.5</v>
      </c>
      <c r="I99" s="67">
        <f t="shared" si="22"/>
        <v>2111.8</v>
      </c>
      <c r="J99" s="67">
        <f t="shared" si="22"/>
        <v>0</v>
      </c>
      <c r="K99" s="67">
        <f t="shared" si="22"/>
        <v>21</v>
      </c>
      <c r="L99" s="67">
        <f t="shared" si="22"/>
        <v>0</v>
      </c>
      <c r="M99" s="72">
        <f t="shared" si="22"/>
        <v>242.9</v>
      </c>
      <c r="N99" s="67">
        <f t="shared" si="22"/>
        <v>0</v>
      </c>
      <c r="O99" s="67">
        <f t="shared" si="22"/>
        <v>0</v>
      </c>
      <c r="P99" s="67">
        <f t="shared" si="22"/>
        <v>265.6</v>
      </c>
      <c r="Q99" s="67">
        <f t="shared" si="22"/>
        <v>0</v>
      </c>
      <c r="R99" s="67">
        <f t="shared" si="22"/>
        <v>1879.3</v>
      </c>
      <c r="S99" s="67">
        <f t="shared" si="22"/>
        <v>380.3</v>
      </c>
      <c r="T99" s="67">
        <f t="shared" si="22"/>
        <v>796.3000000000001</v>
      </c>
      <c r="U99" s="67">
        <f t="shared" si="22"/>
        <v>21.7</v>
      </c>
      <c r="V99" s="67">
        <f t="shared" si="22"/>
        <v>242.3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6127.700000000001</v>
      </c>
      <c r="AG99" s="71">
        <f>B99+C99-AF99</f>
        <v>2159.7999999999993</v>
      </c>
    </row>
    <row r="100" spans="1:33" ht="12.75">
      <c r="A100" s="1" t="s">
        <v>35</v>
      </c>
      <c r="B100" s="2">
        <f aca="true" t="shared" si="24" ref="B100:AD100">B94-B95-B96-B97-B98-B99</f>
        <v>122419.59999999995</v>
      </c>
      <c r="C100" s="2">
        <f t="shared" si="24"/>
        <v>11722.300000000001</v>
      </c>
      <c r="D100" s="84">
        <f t="shared" si="24"/>
        <v>0</v>
      </c>
      <c r="E100" s="84">
        <f t="shared" si="24"/>
        <v>4113.5</v>
      </c>
      <c r="F100" s="84">
        <f t="shared" si="24"/>
        <v>8176.700000000001</v>
      </c>
      <c r="G100" s="84">
        <f t="shared" si="24"/>
        <v>200.70000000000005</v>
      </c>
      <c r="H100" s="84">
        <f t="shared" si="24"/>
        <v>962.4999999999989</v>
      </c>
      <c r="I100" s="84">
        <f t="shared" si="24"/>
        <v>1987.3999999999996</v>
      </c>
      <c r="J100" s="84">
        <f t="shared" si="24"/>
        <v>71.39999999999998</v>
      </c>
      <c r="K100" s="84">
        <f t="shared" si="24"/>
        <v>1531.3</v>
      </c>
      <c r="L100" s="84">
        <f t="shared" si="24"/>
        <v>4311.199999999994</v>
      </c>
      <c r="M100" s="92">
        <f t="shared" si="24"/>
        <v>10983.3</v>
      </c>
      <c r="N100" s="84">
        <f t="shared" si="24"/>
        <v>4651.800000000001</v>
      </c>
      <c r="O100" s="84">
        <f t="shared" si="24"/>
        <v>30461.3</v>
      </c>
      <c r="P100" s="84">
        <f t="shared" si="24"/>
        <v>10268.5</v>
      </c>
      <c r="Q100" s="84">
        <f t="shared" si="24"/>
        <v>2262.8</v>
      </c>
      <c r="R100" s="84">
        <f t="shared" si="24"/>
        <v>607.7000000000005</v>
      </c>
      <c r="S100" s="84">
        <f t="shared" si="24"/>
        <v>2877.7000000000003</v>
      </c>
      <c r="T100" s="84">
        <f t="shared" si="24"/>
        <v>25704.899999999998</v>
      </c>
      <c r="U100" s="84">
        <f t="shared" si="24"/>
        <v>-28540.10000000002</v>
      </c>
      <c r="V100" s="84">
        <f t="shared" si="24"/>
        <v>1812.4999999999998</v>
      </c>
      <c r="W100" s="84">
        <f t="shared" si="24"/>
        <v>11192.199999999999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93637.29999999999</v>
      </c>
      <c r="AG100" s="84">
        <f>AG94-AG95-AG96-AG97-AG98-AG99</f>
        <v>40504.600000000006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9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56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19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40057.8</v>
      </c>
      <c r="C7" s="86">
        <v>1117.2999999999956</v>
      </c>
      <c r="D7" s="37"/>
      <c r="E7" s="38">
        <v>20028.9</v>
      </c>
      <c r="F7" s="38"/>
      <c r="G7" s="38"/>
      <c r="H7" s="56"/>
      <c r="I7" s="38"/>
      <c r="J7" s="39"/>
      <c r="K7" s="38">
        <v>20028.9</v>
      </c>
      <c r="L7" s="38"/>
      <c r="M7" s="39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940.7000000000007</v>
      </c>
      <c r="AF7" s="54"/>
      <c r="AG7" s="40"/>
    </row>
    <row r="8" spans="1:55" ht="18" customHeight="1">
      <c r="A8" s="47" t="s">
        <v>30</v>
      </c>
      <c r="B8" s="33">
        <f>SUM(E8:AB8)</f>
        <v>118587.70000000001</v>
      </c>
      <c r="C8" s="87">
        <v>73985</v>
      </c>
      <c r="D8" s="59">
        <v>15332.8</v>
      </c>
      <c r="E8" s="60">
        <v>6025.5</v>
      </c>
      <c r="F8" s="61">
        <v>3113.3</v>
      </c>
      <c r="G8" s="61">
        <v>5865.7</v>
      </c>
      <c r="H8" s="61">
        <v>7544.8</v>
      </c>
      <c r="I8" s="61"/>
      <c r="J8" s="61">
        <v>14810.1</v>
      </c>
      <c r="K8" s="62">
        <v>1817.7</v>
      </c>
      <c r="L8" s="61">
        <v>2063.4</v>
      </c>
      <c r="M8" s="62">
        <v>2952.2</v>
      </c>
      <c r="N8" s="61">
        <v>3827</v>
      </c>
      <c r="O8" s="61">
        <v>11375.3</v>
      </c>
      <c r="P8" s="61">
        <v>3461</v>
      </c>
      <c r="Q8" s="61">
        <v>3460.2</v>
      </c>
      <c r="R8" s="61">
        <v>6830.6</v>
      </c>
      <c r="S8" s="63">
        <v>6166.6</v>
      </c>
      <c r="T8" s="63">
        <v>9762.7</v>
      </c>
      <c r="U8" s="61">
        <v>2754.6</v>
      </c>
      <c r="V8" s="61">
        <v>3159.3</v>
      </c>
      <c r="W8" s="61">
        <v>7276</v>
      </c>
      <c r="X8" s="62">
        <v>16321.7</v>
      </c>
      <c r="Y8" s="62"/>
      <c r="Z8" s="62"/>
      <c r="AA8" s="62"/>
      <c r="AB8" s="61"/>
      <c r="AC8" s="64"/>
      <c r="AD8" s="64"/>
      <c r="AE8" s="65">
        <f>SUM(D8:AD8)+C8-AF9+AF16+AF25</f>
        <v>33508.600000000035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217052.4</v>
      </c>
      <c r="C9" s="23">
        <f t="shared" si="0"/>
        <v>73800.6</v>
      </c>
      <c r="D9" s="68">
        <f t="shared" si="0"/>
        <v>0</v>
      </c>
      <c r="E9" s="68">
        <f t="shared" si="0"/>
        <v>21358.3</v>
      </c>
      <c r="F9" s="68">
        <f t="shared" si="0"/>
        <v>3204.4</v>
      </c>
      <c r="G9" s="68">
        <f t="shared" si="0"/>
        <v>5865.6</v>
      </c>
      <c r="H9" s="68">
        <f t="shared" si="0"/>
        <v>7484.600000000001</v>
      </c>
      <c r="I9" s="68">
        <f t="shared" si="0"/>
        <v>0</v>
      </c>
      <c r="J9" s="68">
        <f t="shared" si="0"/>
        <v>15014.099999999999</v>
      </c>
      <c r="K9" s="68">
        <f t="shared" si="0"/>
        <v>28247.40000000001</v>
      </c>
      <c r="L9" s="68">
        <f t="shared" si="0"/>
        <v>11766.099999999999</v>
      </c>
      <c r="M9" s="90">
        <f t="shared" si="0"/>
        <v>3831.8</v>
      </c>
      <c r="N9" s="68">
        <f t="shared" si="0"/>
        <v>4810.699999999998</v>
      </c>
      <c r="O9" s="68">
        <f t="shared" si="0"/>
        <v>11375.300000000001</v>
      </c>
      <c r="P9" s="68">
        <f t="shared" si="0"/>
        <v>3461</v>
      </c>
      <c r="Q9" s="68">
        <f t="shared" si="0"/>
        <v>3460.3</v>
      </c>
      <c r="R9" s="68">
        <f t="shared" si="0"/>
        <v>1154.3999999999999</v>
      </c>
      <c r="S9" s="68">
        <f t="shared" si="0"/>
        <v>3293.8</v>
      </c>
      <c r="T9" s="68">
        <f t="shared" si="0"/>
        <v>12679.3</v>
      </c>
      <c r="U9" s="68">
        <f t="shared" si="0"/>
        <v>50866.90000000001</v>
      </c>
      <c r="V9" s="68">
        <f t="shared" si="0"/>
        <v>3159.3999999999987</v>
      </c>
      <c r="W9" s="68">
        <f t="shared" si="0"/>
        <v>7276.2</v>
      </c>
      <c r="X9" s="68">
        <f t="shared" si="0"/>
        <v>16321.699999999999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214631.29999999996</v>
      </c>
      <c r="AG9" s="90">
        <f>AG10+AG15+AG24+AG33+AG47+AG52+AG54+AG61+AG62+AG71+AG72+AG76+AG88+AG81+AG83+AG82+AG69+AG89+AG91+AG90+AG70+AG40+AG92</f>
        <v>76221.70000000001</v>
      </c>
      <c r="AH9" s="41"/>
      <c r="AI9" s="41"/>
    </row>
    <row r="10" spans="1:35" s="18" customFormat="1" ht="15.75">
      <c r="A10" s="96" t="s">
        <v>4</v>
      </c>
      <c r="B10" s="97">
        <f>19083.7+56.6</f>
        <v>19140.3</v>
      </c>
      <c r="C10" s="97">
        <v>2464.5</v>
      </c>
      <c r="D10" s="72"/>
      <c r="E10" s="72">
        <v>203.9</v>
      </c>
      <c r="F10" s="72">
        <v>119.8</v>
      </c>
      <c r="G10" s="72">
        <v>249.5</v>
      </c>
      <c r="H10" s="72">
        <v>28.2</v>
      </c>
      <c r="I10" s="72"/>
      <c r="J10" s="70">
        <v>94.6</v>
      </c>
      <c r="K10" s="72">
        <f>1641.4</f>
        <v>1641.4</v>
      </c>
      <c r="L10" s="72">
        <f>3692.3-8.4</f>
        <v>3683.9</v>
      </c>
      <c r="M10" s="72">
        <v>1284.9</v>
      </c>
      <c r="N10" s="72">
        <v>43.8</v>
      </c>
      <c r="O10" s="72">
        <v>45.6</v>
      </c>
      <c r="P10" s="72">
        <v>7</v>
      </c>
      <c r="Q10" s="72">
        <v>132</v>
      </c>
      <c r="R10" s="72">
        <v>69</v>
      </c>
      <c r="S10" s="72">
        <v>12.9</v>
      </c>
      <c r="T10" s="72">
        <v>1131.2</v>
      </c>
      <c r="U10" s="72">
        <v>2053.4</v>
      </c>
      <c r="V10" s="72">
        <v>6027.2</v>
      </c>
      <c r="W10" s="72">
        <v>894.6</v>
      </c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17722.899999999998</v>
      </c>
      <c r="AG10" s="72">
        <f>B10+C10-AF10</f>
        <v>3881.9000000000015</v>
      </c>
      <c r="AI10" s="21"/>
    </row>
    <row r="11" spans="1:35" s="18" customFormat="1" ht="15.75">
      <c r="A11" s="98" t="s">
        <v>5</v>
      </c>
      <c r="B11" s="97">
        <v>17709.2</v>
      </c>
      <c r="C11" s="97">
        <v>1338.2000000000044</v>
      </c>
      <c r="D11" s="72"/>
      <c r="E11" s="72">
        <v>196.5</v>
      </c>
      <c r="F11" s="72">
        <v>40.7</v>
      </c>
      <c r="G11" s="72">
        <v>134.2</v>
      </c>
      <c r="H11" s="72">
        <v>1.1</v>
      </c>
      <c r="I11" s="72"/>
      <c r="J11" s="72"/>
      <c r="K11" s="72">
        <v>1320.4</v>
      </c>
      <c r="L11" s="72">
        <v>3625.8</v>
      </c>
      <c r="M11" s="72">
        <v>1272.4</v>
      </c>
      <c r="N11" s="72"/>
      <c r="O11" s="72"/>
      <c r="P11" s="72"/>
      <c r="Q11" s="72">
        <v>130.1</v>
      </c>
      <c r="R11" s="72"/>
      <c r="S11" s="72">
        <v>0.9</v>
      </c>
      <c r="T11" s="72">
        <v>1054</v>
      </c>
      <c r="U11" s="72">
        <v>1991.7</v>
      </c>
      <c r="V11" s="72">
        <v>5764.4</v>
      </c>
      <c r="W11" s="72">
        <v>865.1</v>
      </c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16397.3</v>
      </c>
      <c r="AG11" s="72">
        <f>B11+C11-AF11</f>
        <v>2650.100000000006</v>
      </c>
      <c r="AI11" s="21"/>
    </row>
    <row r="12" spans="1:35" s="18" customFormat="1" ht="15.75">
      <c r="A12" s="98" t="s">
        <v>2</v>
      </c>
      <c r="B12" s="99">
        <v>357.7</v>
      </c>
      <c r="C12" s="97">
        <v>299.8</v>
      </c>
      <c r="D12" s="72"/>
      <c r="E12" s="72"/>
      <c r="F12" s="72"/>
      <c r="G12" s="72">
        <v>77</v>
      </c>
      <c r="H12" s="72">
        <v>0.5</v>
      </c>
      <c r="I12" s="72"/>
      <c r="J12" s="72">
        <v>3</v>
      </c>
      <c r="K12" s="72">
        <v>170</v>
      </c>
      <c r="L12" s="72">
        <v>5.8</v>
      </c>
      <c r="M12" s="72"/>
      <c r="N12" s="72"/>
      <c r="O12" s="72">
        <v>23.6</v>
      </c>
      <c r="P12" s="72"/>
      <c r="Q12" s="72"/>
      <c r="R12" s="72"/>
      <c r="S12" s="72"/>
      <c r="T12" s="72">
        <v>4.9</v>
      </c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284.8</v>
      </c>
      <c r="AG12" s="72">
        <f>B12+C12-AF12</f>
        <v>372.7</v>
      </c>
      <c r="AI12" s="21"/>
    </row>
    <row r="13" spans="1:35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  <c r="AI13" s="21"/>
    </row>
    <row r="14" spans="1:35" s="18" customFormat="1" ht="15.75">
      <c r="A14" s="98" t="s">
        <v>23</v>
      </c>
      <c r="B14" s="97">
        <f aca="true" t="shared" si="2" ref="B14:Y14">B10-B11-B12-B13</f>
        <v>1073.3999999999985</v>
      </c>
      <c r="C14" s="97">
        <v>826.4999999999957</v>
      </c>
      <c r="D14" s="72">
        <f t="shared" si="2"/>
        <v>0</v>
      </c>
      <c r="E14" s="72">
        <f t="shared" si="2"/>
        <v>7.400000000000006</v>
      </c>
      <c r="F14" s="72">
        <f t="shared" si="2"/>
        <v>79.1</v>
      </c>
      <c r="G14" s="72">
        <f t="shared" si="2"/>
        <v>38.30000000000001</v>
      </c>
      <c r="H14" s="72">
        <f t="shared" si="2"/>
        <v>26.599999999999998</v>
      </c>
      <c r="I14" s="72">
        <f t="shared" si="2"/>
        <v>0</v>
      </c>
      <c r="J14" s="72">
        <f t="shared" si="2"/>
        <v>91.6</v>
      </c>
      <c r="K14" s="72">
        <f t="shared" si="2"/>
        <v>151</v>
      </c>
      <c r="L14" s="72">
        <f t="shared" si="2"/>
        <v>52.29999999999991</v>
      </c>
      <c r="M14" s="72">
        <f t="shared" si="2"/>
        <v>12.5</v>
      </c>
      <c r="N14" s="72">
        <f t="shared" si="2"/>
        <v>43.8</v>
      </c>
      <c r="O14" s="72">
        <f t="shared" si="2"/>
        <v>22</v>
      </c>
      <c r="P14" s="72">
        <f t="shared" si="2"/>
        <v>7</v>
      </c>
      <c r="Q14" s="72">
        <f t="shared" si="2"/>
        <v>1.9000000000000057</v>
      </c>
      <c r="R14" s="72">
        <f t="shared" si="2"/>
        <v>69</v>
      </c>
      <c r="S14" s="72">
        <f t="shared" si="2"/>
        <v>12</v>
      </c>
      <c r="T14" s="72">
        <f t="shared" si="2"/>
        <v>72.30000000000004</v>
      </c>
      <c r="U14" s="72">
        <f t="shared" si="2"/>
        <v>61.700000000000045</v>
      </c>
      <c r="V14" s="72">
        <f t="shared" si="2"/>
        <v>262.8000000000002</v>
      </c>
      <c r="W14" s="72">
        <f t="shared" si="2"/>
        <v>29.5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1040.8000000000002</v>
      </c>
      <c r="AG14" s="72">
        <f>AG10-AG11-AG12-AG13</f>
        <v>859.0999999999956</v>
      </c>
      <c r="AI14" s="21"/>
    </row>
    <row r="15" spans="1:35" s="18" customFormat="1" ht="15" customHeight="1">
      <c r="A15" s="96" t="s">
        <v>6</v>
      </c>
      <c r="B15" s="97">
        <f>83747.1+3.2+21.3</f>
        <v>83771.6</v>
      </c>
      <c r="C15" s="97">
        <v>29823.199999999997</v>
      </c>
      <c r="D15" s="100"/>
      <c r="E15" s="100"/>
      <c r="F15" s="72">
        <f>20+40.7</f>
        <v>60.7</v>
      </c>
      <c r="G15" s="72">
        <v>1437.6</v>
      </c>
      <c r="H15" s="72">
        <v>1886</v>
      </c>
      <c r="I15" s="72"/>
      <c r="J15" s="72">
        <v>1381.2</v>
      </c>
      <c r="K15" s="72">
        <f>13902.2+10550.7</f>
        <v>24452.9</v>
      </c>
      <c r="L15" s="72">
        <v>2976.1</v>
      </c>
      <c r="M15" s="72">
        <v>3278.2</v>
      </c>
      <c r="N15" s="72">
        <v>2126</v>
      </c>
      <c r="O15" s="72">
        <v>3292.8</v>
      </c>
      <c r="P15" s="72">
        <v>2453.5</v>
      </c>
      <c r="Q15" s="72">
        <v>875.9</v>
      </c>
      <c r="R15" s="72">
        <v>807.5</v>
      </c>
      <c r="S15" s="72">
        <v>2786.6</v>
      </c>
      <c r="T15" s="72">
        <v>647.3</v>
      </c>
      <c r="U15" s="72">
        <f>23039.2+12514</f>
        <v>35553.2</v>
      </c>
      <c r="V15" s="72">
        <v>298.2</v>
      </c>
      <c r="W15" s="72">
        <v>-6.2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84307.5</v>
      </c>
      <c r="AG15" s="72">
        <f aca="true" t="shared" si="3" ref="AG15:AG31">B15+C15-AF15</f>
        <v>29287.300000000003</v>
      </c>
      <c r="AI15" s="21"/>
    </row>
    <row r="16" spans="1:35" s="104" customFormat="1" ht="15" customHeight="1">
      <c r="A16" s="101" t="s">
        <v>38</v>
      </c>
      <c r="B16" s="102">
        <f>23019.6+3.2</f>
        <v>23022.8</v>
      </c>
      <c r="C16" s="102">
        <v>125.4</v>
      </c>
      <c r="D16" s="88"/>
      <c r="E16" s="88"/>
      <c r="F16" s="76">
        <v>40.7</v>
      </c>
      <c r="G16" s="76"/>
      <c r="H16" s="76"/>
      <c r="I16" s="76"/>
      <c r="J16" s="76"/>
      <c r="K16" s="76">
        <v>10550.7</v>
      </c>
      <c r="L16" s="76"/>
      <c r="M16" s="76"/>
      <c r="N16" s="76"/>
      <c r="O16" s="76"/>
      <c r="P16" s="76"/>
      <c r="Q16" s="76"/>
      <c r="R16" s="76"/>
      <c r="S16" s="76"/>
      <c r="T16" s="76"/>
      <c r="U16" s="76">
        <v>12514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23105.4</v>
      </c>
      <c r="AG16" s="88">
        <f t="shared" si="3"/>
        <v>42.79999999999927</v>
      </c>
      <c r="AH16" s="103"/>
      <c r="AI16" s="21"/>
    </row>
    <row r="17" spans="1:35" s="18" customFormat="1" ht="15.75">
      <c r="A17" s="98" t="s">
        <v>5</v>
      </c>
      <c r="B17" s="97">
        <f>58279.96+3.2</f>
        <v>58283.159999999996</v>
      </c>
      <c r="C17" s="97">
        <v>2363.399999999994</v>
      </c>
      <c r="D17" s="72"/>
      <c r="E17" s="72"/>
      <c r="F17" s="72">
        <v>60.7</v>
      </c>
      <c r="G17" s="72"/>
      <c r="H17" s="72"/>
      <c r="I17" s="72"/>
      <c r="J17" s="72"/>
      <c r="K17" s="72">
        <f>13022.4+10550.7</f>
        <v>23573.1</v>
      </c>
      <c r="L17" s="72"/>
      <c r="M17" s="72"/>
      <c r="N17" s="72"/>
      <c r="O17" s="72"/>
      <c r="P17" s="72"/>
      <c r="Q17" s="72"/>
      <c r="R17" s="72"/>
      <c r="S17" s="72"/>
      <c r="T17" s="72"/>
      <c r="U17" s="72">
        <f>21765.1+12514</f>
        <v>34279.1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57912.899999999994</v>
      </c>
      <c r="AG17" s="72">
        <f t="shared" si="3"/>
        <v>2733.659999999996</v>
      </c>
      <c r="AH17" s="21"/>
      <c r="AI17" s="21"/>
    </row>
    <row r="18" spans="1:35" s="18" customFormat="1" ht="15.75">
      <c r="A18" s="98" t="s">
        <v>3</v>
      </c>
      <c r="B18" s="97">
        <v>35.4</v>
      </c>
      <c r="C18" s="97">
        <v>0</v>
      </c>
      <c r="D18" s="72"/>
      <c r="E18" s="72"/>
      <c r="F18" s="72"/>
      <c r="G18" s="72"/>
      <c r="H18" s="72">
        <v>0.9</v>
      </c>
      <c r="I18" s="72"/>
      <c r="J18" s="72">
        <v>0.3</v>
      </c>
      <c r="K18" s="72"/>
      <c r="L18" s="72"/>
      <c r="M18" s="72"/>
      <c r="N18" s="72"/>
      <c r="O18" s="72"/>
      <c r="P18" s="72"/>
      <c r="Q18" s="72"/>
      <c r="R18" s="72"/>
      <c r="S18" s="72"/>
      <c r="T18" s="72">
        <v>8.7</v>
      </c>
      <c r="U18" s="72">
        <v>9.7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19.599999999999998</v>
      </c>
      <c r="AG18" s="72">
        <f t="shared" si="3"/>
        <v>15.8</v>
      </c>
      <c r="AI18" s="21"/>
    </row>
    <row r="19" spans="1:35" s="18" customFormat="1" ht="15.75">
      <c r="A19" s="98" t="s">
        <v>1</v>
      </c>
      <c r="B19" s="97">
        <v>4280.4</v>
      </c>
      <c r="C19" s="97">
        <v>3541.3999999999996</v>
      </c>
      <c r="D19" s="72"/>
      <c r="E19" s="72"/>
      <c r="F19" s="72"/>
      <c r="G19" s="72">
        <v>240.3</v>
      </c>
      <c r="H19" s="72">
        <v>427.1</v>
      </c>
      <c r="I19" s="72"/>
      <c r="J19" s="72">
        <v>446.9</v>
      </c>
      <c r="K19" s="72">
        <v>102.1</v>
      </c>
      <c r="L19" s="72">
        <v>46</v>
      </c>
      <c r="M19" s="72">
        <v>154.6</v>
      </c>
      <c r="N19" s="72">
        <v>766.9</v>
      </c>
      <c r="O19" s="72"/>
      <c r="P19" s="72">
        <v>945</v>
      </c>
      <c r="Q19" s="72">
        <v>400</v>
      </c>
      <c r="R19" s="72">
        <v>1</v>
      </c>
      <c r="S19" s="72">
        <v>1121.4</v>
      </c>
      <c r="T19" s="72">
        <v>59</v>
      </c>
      <c r="U19" s="72">
        <v>682.9</v>
      </c>
      <c r="V19" s="72">
        <v>18.7</v>
      </c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5411.9</v>
      </c>
      <c r="AG19" s="72">
        <f t="shared" si="3"/>
        <v>2409.8999999999996</v>
      </c>
      <c r="AI19" s="21"/>
    </row>
    <row r="20" spans="1:35" s="18" customFormat="1" ht="15.75">
      <c r="A20" s="98" t="s">
        <v>2</v>
      </c>
      <c r="B20" s="97">
        <v>16303.4</v>
      </c>
      <c r="C20" s="97">
        <v>20438.6</v>
      </c>
      <c r="D20" s="72"/>
      <c r="E20" s="72"/>
      <c r="F20" s="72"/>
      <c r="G20" s="72">
        <v>688.8</v>
      </c>
      <c r="H20" s="72">
        <v>1267.7</v>
      </c>
      <c r="I20" s="72"/>
      <c r="J20" s="72">
        <v>920.8</v>
      </c>
      <c r="K20" s="72">
        <v>531.8</v>
      </c>
      <c r="L20" s="72">
        <v>2870.4</v>
      </c>
      <c r="M20" s="72">
        <v>2522</v>
      </c>
      <c r="N20" s="72">
        <f>1076.6+267.2</f>
        <v>1343.8</v>
      </c>
      <c r="O20" s="72">
        <v>3290.1</v>
      </c>
      <c r="P20" s="72">
        <v>1467.5</v>
      </c>
      <c r="Q20" s="72">
        <v>255.7</v>
      </c>
      <c r="R20" s="72">
        <v>697.1</v>
      </c>
      <c r="S20" s="72">
        <v>813.5</v>
      </c>
      <c r="T20" s="72">
        <v>565.4</v>
      </c>
      <c r="U20" s="72">
        <v>107.9</v>
      </c>
      <c r="V20" s="72">
        <v>63.1</v>
      </c>
      <c r="W20" s="72">
        <v>-5.9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17399.7</v>
      </c>
      <c r="AG20" s="72">
        <f t="shared" si="3"/>
        <v>19342.3</v>
      </c>
      <c r="AI20" s="21"/>
    </row>
    <row r="21" spans="1:35" s="18" customFormat="1" ht="15.75">
      <c r="A21" s="98" t="s">
        <v>16</v>
      </c>
      <c r="B21" s="97">
        <v>1194.5</v>
      </c>
      <c r="C21" s="97">
        <v>157.20000000000005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376.7</v>
      </c>
      <c r="N21" s="72"/>
      <c r="O21" s="72"/>
      <c r="P21" s="72"/>
      <c r="Q21" s="72"/>
      <c r="R21" s="72"/>
      <c r="S21" s="72">
        <v>419.7</v>
      </c>
      <c r="T21" s="72"/>
      <c r="U21" s="72">
        <v>11.5</v>
      </c>
      <c r="V21" s="72">
        <v>196.3</v>
      </c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1004.2</v>
      </c>
      <c r="AG21" s="72">
        <f t="shared" si="3"/>
        <v>347.5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3674.740000000007</v>
      </c>
      <c r="C23" s="97">
        <v>3537.000000000011</v>
      </c>
      <c r="D23" s="72">
        <f aca="true" t="shared" si="4" ref="D23:AD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508.5</v>
      </c>
      <c r="H23" s="72">
        <f t="shared" si="4"/>
        <v>190.29999999999995</v>
      </c>
      <c r="I23" s="72">
        <f t="shared" si="4"/>
        <v>0</v>
      </c>
      <c r="J23" s="72">
        <f t="shared" si="4"/>
        <v>13.20000000000016</v>
      </c>
      <c r="K23" s="72">
        <f t="shared" si="4"/>
        <v>245.90000000000293</v>
      </c>
      <c r="L23" s="72">
        <f t="shared" si="4"/>
        <v>59.69999999999982</v>
      </c>
      <c r="M23" s="72">
        <f t="shared" si="4"/>
        <v>224.89999999999992</v>
      </c>
      <c r="N23" s="72">
        <f t="shared" si="4"/>
        <v>15.299999999999955</v>
      </c>
      <c r="O23" s="72">
        <f t="shared" si="4"/>
        <v>2.700000000000273</v>
      </c>
      <c r="P23" s="72">
        <f t="shared" si="4"/>
        <v>41</v>
      </c>
      <c r="Q23" s="72">
        <f t="shared" si="4"/>
        <v>220.2</v>
      </c>
      <c r="R23" s="72">
        <f t="shared" si="4"/>
        <v>109.39999999999998</v>
      </c>
      <c r="S23" s="72">
        <f t="shared" si="4"/>
        <v>431.99999999999983</v>
      </c>
      <c r="T23" s="72">
        <f t="shared" si="4"/>
        <v>14.199999999999932</v>
      </c>
      <c r="U23" s="72">
        <f t="shared" si="4"/>
        <v>462.09999999999854</v>
      </c>
      <c r="V23" s="72">
        <f t="shared" si="4"/>
        <v>20.099999999999994</v>
      </c>
      <c r="W23" s="72">
        <f t="shared" si="4"/>
        <v>-0.2999999999999998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2559.200000000001</v>
      </c>
      <c r="AG23" s="72">
        <f t="shared" si="3"/>
        <v>4652.540000000017</v>
      </c>
      <c r="AI23" s="21"/>
    </row>
    <row r="24" spans="1:35" s="18" customFormat="1" ht="15" customHeight="1">
      <c r="A24" s="96" t="s">
        <v>7</v>
      </c>
      <c r="B24" s="97">
        <f>41417.8-99.1-467-180</f>
        <v>40671.700000000004</v>
      </c>
      <c r="C24" s="97">
        <v>7848.9000000000015</v>
      </c>
      <c r="D24" s="72"/>
      <c r="E24" s="72"/>
      <c r="F24" s="72">
        <v>50.4</v>
      </c>
      <c r="G24" s="72"/>
      <c r="H24" s="72">
        <v>1560.6</v>
      </c>
      <c r="I24" s="72"/>
      <c r="J24" s="72">
        <v>365</v>
      </c>
      <c r="K24" s="72">
        <f>382.7+21.5</f>
        <v>404.2</v>
      </c>
      <c r="L24" s="72">
        <f>377.5+9702.8</f>
        <v>10080.3</v>
      </c>
      <c r="M24" s="72"/>
      <c r="N24" s="72">
        <f>6002.3+983.7</f>
        <v>6986</v>
      </c>
      <c r="O24" s="72"/>
      <c r="P24" s="72">
        <v>102.6</v>
      </c>
      <c r="Q24" s="72">
        <v>170.9</v>
      </c>
      <c r="R24" s="72"/>
      <c r="S24" s="72">
        <v>1929.3</v>
      </c>
      <c r="T24" s="72">
        <f>5928.2+3314.6</f>
        <v>9242.8</v>
      </c>
      <c r="U24" s="72">
        <f>5249.2+585.3+45.6</f>
        <v>5880.1</v>
      </c>
      <c r="V24" s="72">
        <v>84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36856.2</v>
      </c>
      <c r="AG24" s="72">
        <f t="shared" si="3"/>
        <v>11664.400000000009</v>
      </c>
      <c r="AI24" s="21"/>
    </row>
    <row r="25" spans="1:35" s="104" customFormat="1" ht="15" customHeight="1">
      <c r="A25" s="101" t="s">
        <v>39</v>
      </c>
      <c r="B25" s="102">
        <v>17038.2</v>
      </c>
      <c r="C25" s="102">
        <v>90.79999999999927</v>
      </c>
      <c r="D25" s="76"/>
      <c r="E25" s="76"/>
      <c r="F25" s="76">
        <v>50.4</v>
      </c>
      <c r="G25" s="76"/>
      <c r="H25" s="76">
        <v>1023.5</v>
      </c>
      <c r="I25" s="76"/>
      <c r="J25" s="76"/>
      <c r="K25" s="76">
        <v>21.4</v>
      </c>
      <c r="L25" s="76">
        <v>9702.8</v>
      </c>
      <c r="M25" s="76"/>
      <c r="N25" s="76">
        <v>983.7</v>
      </c>
      <c r="O25" s="76"/>
      <c r="P25" s="76"/>
      <c r="Q25" s="76"/>
      <c r="R25" s="76"/>
      <c r="S25" s="76">
        <v>1447.3</v>
      </c>
      <c r="T25" s="76">
        <v>3314.6</v>
      </c>
      <c r="U25" s="76">
        <v>585.3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17128.999999999996</v>
      </c>
      <c r="AG25" s="88">
        <f t="shared" si="3"/>
        <v>0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90.8</v>
      </c>
      <c r="C30" s="97">
        <v>90.9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181.7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40580.9</v>
      </c>
      <c r="C32" s="97">
        <v>7758.000000000002</v>
      </c>
      <c r="D32" s="72">
        <f aca="true" t="shared" si="5" ref="D32:AD32">D24-D26-D27-D28-D29-D30-D31</f>
        <v>0</v>
      </c>
      <c r="E32" s="72">
        <f t="shared" si="5"/>
        <v>0</v>
      </c>
      <c r="F32" s="72">
        <f t="shared" si="5"/>
        <v>50.4</v>
      </c>
      <c r="G32" s="72">
        <f t="shared" si="5"/>
        <v>0</v>
      </c>
      <c r="H32" s="72">
        <f t="shared" si="5"/>
        <v>1560.6</v>
      </c>
      <c r="I32" s="72">
        <f t="shared" si="5"/>
        <v>0</v>
      </c>
      <c r="J32" s="72">
        <f t="shared" si="5"/>
        <v>365</v>
      </c>
      <c r="K32" s="72">
        <f t="shared" si="5"/>
        <v>404.2</v>
      </c>
      <c r="L32" s="72">
        <f t="shared" si="5"/>
        <v>10080.3</v>
      </c>
      <c r="M32" s="72">
        <f t="shared" si="5"/>
        <v>0</v>
      </c>
      <c r="N32" s="72">
        <f t="shared" si="5"/>
        <v>6986</v>
      </c>
      <c r="O32" s="72">
        <f t="shared" si="5"/>
        <v>0</v>
      </c>
      <c r="P32" s="72">
        <f t="shared" si="5"/>
        <v>102.6</v>
      </c>
      <c r="Q32" s="72">
        <f t="shared" si="5"/>
        <v>170.9</v>
      </c>
      <c r="R32" s="72">
        <f t="shared" si="5"/>
        <v>0</v>
      </c>
      <c r="S32" s="72">
        <f t="shared" si="5"/>
        <v>1929.3</v>
      </c>
      <c r="T32" s="72">
        <f t="shared" si="5"/>
        <v>9242.8</v>
      </c>
      <c r="U32" s="72">
        <f t="shared" si="5"/>
        <v>5880.1</v>
      </c>
      <c r="V32" s="72">
        <f t="shared" si="5"/>
        <v>84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36856.2</v>
      </c>
      <c r="AG32" s="72">
        <f>AG24-AG30</f>
        <v>11482.700000000008</v>
      </c>
      <c r="AI32" s="21"/>
    </row>
    <row r="33" spans="1:35" s="18" customFormat="1" ht="15" customHeight="1">
      <c r="A33" s="96" t="s">
        <v>8</v>
      </c>
      <c r="B33" s="97">
        <v>392.8</v>
      </c>
      <c r="C33" s="97">
        <v>192.80000000000007</v>
      </c>
      <c r="D33" s="72"/>
      <c r="E33" s="72"/>
      <c r="F33" s="72"/>
      <c r="G33" s="72"/>
      <c r="H33" s="72"/>
      <c r="I33" s="72"/>
      <c r="J33" s="72"/>
      <c r="K33" s="72">
        <v>100.7</v>
      </c>
      <c r="L33" s="72"/>
      <c r="M33" s="72"/>
      <c r="N33" s="72">
        <v>125</v>
      </c>
      <c r="O33" s="72"/>
      <c r="P33" s="72"/>
      <c r="Q33" s="72"/>
      <c r="R33" s="72"/>
      <c r="S33" s="72">
        <v>0.6</v>
      </c>
      <c r="T33" s="72">
        <v>0.8</v>
      </c>
      <c r="U33" s="72">
        <v>205.3</v>
      </c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432.4</v>
      </c>
      <c r="AG33" s="72">
        <f aca="true" t="shared" si="6" ref="AG33:AG38">B33+C33-AF33</f>
        <v>153.20000000000016</v>
      </c>
      <c r="AI33" s="21"/>
    </row>
    <row r="34" spans="1:35" s="18" customFormat="1" ht="15.75">
      <c r="A34" s="98" t="s">
        <v>5</v>
      </c>
      <c r="B34" s="97">
        <v>299.5</v>
      </c>
      <c r="C34" s="97">
        <v>23.899999999999977</v>
      </c>
      <c r="D34" s="72"/>
      <c r="E34" s="72"/>
      <c r="F34" s="72"/>
      <c r="G34" s="72"/>
      <c r="H34" s="72"/>
      <c r="I34" s="72"/>
      <c r="J34" s="72"/>
      <c r="K34" s="72">
        <v>95.6</v>
      </c>
      <c r="L34" s="72"/>
      <c r="M34" s="72"/>
      <c r="N34" s="72"/>
      <c r="O34" s="72"/>
      <c r="P34" s="72"/>
      <c r="Q34" s="72"/>
      <c r="R34" s="72"/>
      <c r="S34" s="72"/>
      <c r="T34" s="72"/>
      <c r="U34" s="72">
        <v>203.1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298.7</v>
      </c>
      <c r="AG34" s="72">
        <f t="shared" si="6"/>
        <v>24.69999999999999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79.9</v>
      </c>
      <c r="C36" s="97">
        <v>117.1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>
        <v>118.8</v>
      </c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118.8</v>
      </c>
      <c r="AG36" s="72">
        <f t="shared" si="6"/>
        <v>78.2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13.400000000000006</v>
      </c>
      <c r="C39" s="97">
        <v>51.8000000000001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5.1000000000000085</v>
      </c>
      <c r="L39" s="72">
        <f t="shared" si="7"/>
        <v>0</v>
      </c>
      <c r="M39" s="72">
        <f t="shared" si="7"/>
        <v>0</v>
      </c>
      <c r="N39" s="72">
        <f t="shared" si="7"/>
        <v>6.200000000000003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0.6</v>
      </c>
      <c r="T39" s="72">
        <f t="shared" si="7"/>
        <v>0.8</v>
      </c>
      <c r="U39" s="72">
        <f t="shared" si="7"/>
        <v>2.200000000000017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14.900000000000029</v>
      </c>
      <c r="AG39" s="72">
        <f>AG33-AG34-AG36-AG38-AG35-AG37</f>
        <v>50.30000000000017</v>
      </c>
      <c r="AI39" s="21"/>
    </row>
    <row r="40" spans="1:35" s="18" customFormat="1" ht="15" customHeight="1">
      <c r="A40" s="96" t="s">
        <v>29</v>
      </c>
      <c r="B40" s="97">
        <v>1540.7</v>
      </c>
      <c r="C40" s="97">
        <v>121.79999999999995</v>
      </c>
      <c r="D40" s="72"/>
      <c r="E40" s="72"/>
      <c r="F40" s="72"/>
      <c r="G40" s="72">
        <v>71.3</v>
      </c>
      <c r="H40" s="72"/>
      <c r="I40" s="72"/>
      <c r="J40" s="72">
        <v>15.4</v>
      </c>
      <c r="K40" s="72"/>
      <c r="L40" s="72">
        <v>390.3</v>
      </c>
      <c r="M40" s="72">
        <v>13.8</v>
      </c>
      <c r="N40" s="72"/>
      <c r="O40" s="72">
        <v>56.1</v>
      </c>
      <c r="P40" s="72"/>
      <c r="Q40" s="72"/>
      <c r="R40" s="72"/>
      <c r="S40" s="72"/>
      <c r="T40" s="72"/>
      <c r="U40" s="72">
        <v>905.8</v>
      </c>
      <c r="V40" s="72">
        <v>4.8</v>
      </c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1457.4999999999998</v>
      </c>
      <c r="AG40" s="72">
        <f aca="true" t="shared" si="8" ref="AG40:AG45">B40+C40-AF40</f>
        <v>205.00000000000023</v>
      </c>
      <c r="AI40" s="21"/>
    </row>
    <row r="41" spans="1:35" s="18" customFormat="1" ht="15.75">
      <c r="A41" s="98" t="s">
        <v>5</v>
      </c>
      <c r="B41" s="97">
        <v>1297.1</v>
      </c>
      <c r="C41" s="97">
        <v>77.69999999999982</v>
      </c>
      <c r="D41" s="72"/>
      <c r="E41" s="72"/>
      <c r="F41" s="72"/>
      <c r="G41" s="72"/>
      <c r="H41" s="72"/>
      <c r="I41" s="72"/>
      <c r="J41" s="72"/>
      <c r="K41" s="72"/>
      <c r="L41" s="72">
        <v>377.1</v>
      </c>
      <c r="M41" s="72"/>
      <c r="N41" s="72"/>
      <c r="O41" s="72"/>
      <c r="P41" s="72"/>
      <c r="Q41" s="72"/>
      <c r="R41" s="72"/>
      <c r="S41" s="72"/>
      <c r="T41" s="72"/>
      <c r="U41" s="72">
        <v>896.5</v>
      </c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1273.6</v>
      </c>
      <c r="AG41" s="72">
        <f t="shared" si="8"/>
        <v>101.19999999999982</v>
      </c>
      <c r="AH41" s="21"/>
      <c r="AI41" s="21"/>
    </row>
    <row r="42" spans="1:35" s="18" customFormat="1" ht="15.75">
      <c r="A42" s="98" t="s">
        <v>3</v>
      </c>
      <c r="B42" s="97">
        <v>0.9</v>
      </c>
      <c r="C42" s="97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2.5</v>
      </c>
      <c r="D43" s="72"/>
      <c r="E43" s="72"/>
      <c r="F43" s="72"/>
      <c r="G43" s="72"/>
      <c r="H43" s="72"/>
      <c r="I43" s="72"/>
      <c r="J43" s="72"/>
      <c r="K43" s="72"/>
      <c r="L43" s="72">
        <v>10.5</v>
      </c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10.5</v>
      </c>
      <c r="AG43" s="72">
        <f t="shared" si="8"/>
        <v>2.3000000000000007</v>
      </c>
      <c r="AI43" s="21"/>
    </row>
    <row r="44" spans="1:35" s="18" customFormat="1" ht="15.75">
      <c r="A44" s="98" t="s">
        <v>2</v>
      </c>
      <c r="B44" s="97">
        <v>197.3</v>
      </c>
      <c r="C44" s="97">
        <v>37.00000000000003</v>
      </c>
      <c r="D44" s="72"/>
      <c r="E44" s="72"/>
      <c r="F44" s="72"/>
      <c r="G44" s="72">
        <v>65.8</v>
      </c>
      <c r="H44" s="72"/>
      <c r="I44" s="72"/>
      <c r="J44" s="72">
        <v>15.4</v>
      </c>
      <c r="K44" s="72"/>
      <c r="L44" s="72">
        <v>2.2</v>
      </c>
      <c r="M44" s="72"/>
      <c r="N44" s="72"/>
      <c r="O44" s="72">
        <v>56.1</v>
      </c>
      <c r="P44" s="72"/>
      <c r="Q44" s="72"/>
      <c r="R44" s="72"/>
      <c r="S44" s="72"/>
      <c r="T44" s="72"/>
      <c r="U44" s="72">
        <v>2.7</v>
      </c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142.2</v>
      </c>
      <c r="AG44" s="72">
        <f t="shared" si="8"/>
        <v>92.10000000000005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35.10000000000011</v>
      </c>
      <c r="C46" s="97">
        <v>4.600000000000108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5.5</v>
      </c>
      <c r="H46" s="72">
        <f t="shared" si="9"/>
        <v>0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0.49999999999998845</v>
      </c>
      <c r="M46" s="72">
        <f t="shared" si="9"/>
        <v>13.8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6.599999999999954</v>
      </c>
      <c r="V46" s="72">
        <f t="shared" si="9"/>
        <v>4.8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31.199999999999946</v>
      </c>
      <c r="AG46" s="72">
        <f>AG40-AG41-AG42-AG43-AG44-AG45</f>
        <v>8.500000000000355</v>
      </c>
      <c r="AI46" s="21"/>
    </row>
    <row r="47" spans="1:35" s="18" customFormat="1" ht="17.25" customHeight="1">
      <c r="A47" s="96" t="s">
        <v>43</v>
      </c>
      <c r="B47" s="99">
        <f>6488.7+7.6+1.8</f>
        <v>6498.1</v>
      </c>
      <c r="C47" s="97">
        <v>2565.699999999999</v>
      </c>
      <c r="D47" s="72"/>
      <c r="E47" s="80"/>
      <c r="F47" s="80"/>
      <c r="G47" s="80">
        <v>592.9</v>
      </c>
      <c r="H47" s="80">
        <v>250.5</v>
      </c>
      <c r="I47" s="80"/>
      <c r="J47" s="80">
        <v>1840.9</v>
      </c>
      <c r="K47" s="80">
        <v>85.5</v>
      </c>
      <c r="L47" s="80"/>
      <c r="M47" s="80"/>
      <c r="N47" s="80">
        <v>148.3</v>
      </c>
      <c r="O47" s="80">
        <v>534.2</v>
      </c>
      <c r="P47" s="80"/>
      <c r="Q47" s="80">
        <v>1861</v>
      </c>
      <c r="R47" s="80">
        <v>58.9</v>
      </c>
      <c r="S47" s="80"/>
      <c r="T47" s="80">
        <v>713.5</v>
      </c>
      <c r="U47" s="80">
        <v>44.9</v>
      </c>
      <c r="V47" s="80">
        <v>41.9</v>
      </c>
      <c r="W47" s="80">
        <v>28.7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6201.199999999999</v>
      </c>
      <c r="AG47" s="72">
        <f>B47+C47-AF47</f>
        <v>2862.6000000000004</v>
      </c>
      <c r="AI47" s="21"/>
    </row>
    <row r="48" spans="1:35" s="18" customFormat="1" ht="15.75">
      <c r="A48" s="98" t="s">
        <v>5</v>
      </c>
      <c r="B48" s="97">
        <v>54.4</v>
      </c>
      <c r="C48" s="97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54.4</v>
      </c>
      <c r="AI48" s="21"/>
    </row>
    <row r="49" spans="1:35" s="18" customFormat="1" ht="15.75">
      <c r="A49" s="98" t="s">
        <v>16</v>
      </c>
      <c r="B49" s="97">
        <f>5747.4+7.6+220.3</f>
        <v>5975.3</v>
      </c>
      <c r="C49" s="97">
        <v>1525.8999999999996</v>
      </c>
      <c r="D49" s="72"/>
      <c r="E49" s="72"/>
      <c r="F49" s="72"/>
      <c r="G49" s="72">
        <v>582.9</v>
      </c>
      <c r="H49" s="72">
        <v>250.5</v>
      </c>
      <c r="I49" s="72"/>
      <c r="J49" s="72">
        <v>1833.3</v>
      </c>
      <c r="K49" s="72">
        <v>55</v>
      </c>
      <c r="L49" s="72"/>
      <c r="M49" s="72"/>
      <c r="N49" s="72">
        <v>120.2</v>
      </c>
      <c r="O49" s="72">
        <v>529.4</v>
      </c>
      <c r="P49" s="72"/>
      <c r="Q49" s="72">
        <v>1861</v>
      </c>
      <c r="R49" s="72">
        <v>47.8</v>
      </c>
      <c r="S49" s="72"/>
      <c r="T49" s="72">
        <v>713.5</v>
      </c>
      <c r="U49" s="72"/>
      <c r="V49" s="72">
        <f>35.2+1.8</f>
        <v>37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6030.599999999999</v>
      </c>
      <c r="AG49" s="72">
        <f>B49+C49-AF49</f>
        <v>1470.6000000000004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468.40000000000055</v>
      </c>
      <c r="C51" s="97">
        <v>1039.7999999999993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10</v>
      </c>
      <c r="H51" s="72">
        <f t="shared" si="10"/>
        <v>0</v>
      </c>
      <c r="I51" s="72">
        <f t="shared" si="10"/>
        <v>0</v>
      </c>
      <c r="J51" s="72">
        <f t="shared" si="10"/>
        <v>7.600000000000136</v>
      </c>
      <c r="K51" s="72">
        <f t="shared" si="10"/>
        <v>30.5</v>
      </c>
      <c r="L51" s="72">
        <f t="shared" si="10"/>
        <v>0</v>
      </c>
      <c r="M51" s="72">
        <f t="shared" si="10"/>
        <v>0</v>
      </c>
      <c r="N51" s="72">
        <f t="shared" si="10"/>
        <v>28.10000000000001</v>
      </c>
      <c r="O51" s="72">
        <f t="shared" si="10"/>
        <v>4.800000000000068</v>
      </c>
      <c r="P51" s="72">
        <f t="shared" si="10"/>
        <v>0</v>
      </c>
      <c r="Q51" s="72">
        <f t="shared" si="10"/>
        <v>0</v>
      </c>
      <c r="R51" s="72">
        <f t="shared" si="10"/>
        <v>11.100000000000001</v>
      </c>
      <c r="S51" s="72">
        <f t="shared" si="10"/>
        <v>0</v>
      </c>
      <c r="T51" s="72">
        <f t="shared" si="10"/>
        <v>0</v>
      </c>
      <c r="U51" s="72">
        <f t="shared" si="10"/>
        <v>44.9</v>
      </c>
      <c r="V51" s="72">
        <f t="shared" si="10"/>
        <v>4.899999999999999</v>
      </c>
      <c r="W51" s="72">
        <f t="shared" si="10"/>
        <v>28.7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170.60000000000022</v>
      </c>
      <c r="AG51" s="72">
        <f>AG47-AG49-AG48</f>
        <v>1337.6</v>
      </c>
      <c r="AI51" s="21"/>
    </row>
    <row r="52" spans="1:35" s="18" customFormat="1" ht="15" customHeight="1">
      <c r="A52" s="96" t="s">
        <v>0</v>
      </c>
      <c r="B52" s="97">
        <f>9469.6-56.6+5204.9</f>
        <v>14617.9</v>
      </c>
      <c r="C52" s="97">
        <v>2815.9999999999995</v>
      </c>
      <c r="D52" s="72"/>
      <c r="E52" s="72"/>
      <c r="F52" s="72"/>
      <c r="G52" s="72">
        <v>121.6</v>
      </c>
      <c r="H52" s="72">
        <v>525.1</v>
      </c>
      <c r="I52" s="72"/>
      <c r="J52" s="72">
        <v>495.6</v>
      </c>
      <c r="K52" s="72">
        <v>452.5</v>
      </c>
      <c r="L52" s="72">
        <v>67.7</v>
      </c>
      <c r="M52" s="72">
        <v>766.7</v>
      </c>
      <c r="N52" s="72">
        <v>27.8</v>
      </c>
      <c r="O52" s="72">
        <v>2611.4</v>
      </c>
      <c r="P52" s="72"/>
      <c r="Q52" s="72">
        <v>110.1</v>
      </c>
      <c r="R52" s="72">
        <v>3.8</v>
      </c>
      <c r="S52" s="72">
        <v>3.3</v>
      </c>
      <c r="T52" s="72">
        <v>441.8</v>
      </c>
      <c r="U52" s="72">
        <v>656.5</v>
      </c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6283.9000000000015</v>
      </c>
      <c r="AG52" s="72">
        <f aca="true" t="shared" si="11" ref="AG52:AG59">B52+C52-AF52</f>
        <v>11149.999999999996</v>
      </c>
      <c r="AI52" s="21"/>
    </row>
    <row r="53" spans="1:35" s="18" customFormat="1" ht="15" customHeight="1">
      <c r="A53" s="98" t="s">
        <v>2</v>
      </c>
      <c r="B53" s="97">
        <f>1894.6+200</f>
        <v>2094.6</v>
      </c>
      <c r="C53" s="97">
        <v>1418</v>
      </c>
      <c r="D53" s="72"/>
      <c r="E53" s="72"/>
      <c r="F53" s="72"/>
      <c r="G53" s="72">
        <v>1.6</v>
      </c>
      <c r="H53" s="72"/>
      <c r="I53" s="72"/>
      <c r="J53" s="72"/>
      <c r="K53" s="72"/>
      <c r="L53" s="72"/>
      <c r="M53" s="72"/>
      <c r="N53" s="72"/>
      <c r="O53" s="72">
        <v>2603.8</v>
      </c>
      <c r="P53" s="72"/>
      <c r="Q53" s="72"/>
      <c r="R53" s="72">
        <v>3.8</v>
      </c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2609.2000000000003</v>
      </c>
      <c r="AG53" s="72">
        <f t="shared" si="11"/>
        <v>903.3999999999996</v>
      </c>
      <c r="AI53" s="21"/>
    </row>
    <row r="54" spans="1:35" s="18" customFormat="1" ht="15" customHeight="1">
      <c r="A54" s="96" t="s">
        <v>9</v>
      </c>
      <c r="B54" s="105">
        <v>2665</v>
      </c>
      <c r="C54" s="97">
        <v>732.3000000000002</v>
      </c>
      <c r="D54" s="72"/>
      <c r="E54" s="72"/>
      <c r="F54" s="72"/>
      <c r="G54" s="72">
        <v>111.5</v>
      </c>
      <c r="H54" s="72"/>
      <c r="I54" s="72"/>
      <c r="J54" s="72">
        <v>189.8</v>
      </c>
      <c r="K54" s="72">
        <v>1.9</v>
      </c>
      <c r="L54" s="72">
        <v>691.5</v>
      </c>
      <c r="M54" s="72">
        <v>343.2</v>
      </c>
      <c r="N54" s="72">
        <v>7.5</v>
      </c>
      <c r="O54" s="72">
        <v>137</v>
      </c>
      <c r="P54" s="72"/>
      <c r="Q54" s="72">
        <v>2.4</v>
      </c>
      <c r="R54" s="72">
        <v>142.9</v>
      </c>
      <c r="S54" s="72">
        <v>7.4</v>
      </c>
      <c r="T54" s="72"/>
      <c r="U54" s="72">
        <v>11.4</v>
      </c>
      <c r="V54" s="72">
        <v>645.7</v>
      </c>
      <c r="W54" s="72">
        <v>261.3</v>
      </c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2553.500000000001</v>
      </c>
      <c r="AG54" s="72">
        <f t="shared" si="11"/>
        <v>843.7999999999993</v>
      </c>
      <c r="AH54" s="21"/>
      <c r="AI54" s="21"/>
    </row>
    <row r="55" spans="1:35" s="18" customFormat="1" ht="15.75">
      <c r="A55" s="98" t="s">
        <v>5</v>
      </c>
      <c r="B55" s="97">
        <v>1185</v>
      </c>
      <c r="C55" s="97">
        <v>185.39999999999986</v>
      </c>
      <c r="D55" s="72"/>
      <c r="E55" s="72"/>
      <c r="F55" s="72"/>
      <c r="G55" s="72"/>
      <c r="H55" s="72"/>
      <c r="I55" s="72"/>
      <c r="J55" s="72"/>
      <c r="K55" s="72"/>
      <c r="L55" s="72">
        <v>494.6</v>
      </c>
      <c r="M55" s="72"/>
      <c r="N55" s="72"/>
      <c r="O55" s="72"/>
      <c r="P55" s="72"/>
      <c r="Q55" s="72"/>
      <c r="R55" s="72"/>
      <c r="S55" s="72"/>
      <c r="T55" s="72"/>
      <c r="U55" s="72">
        <v>11.4</v>
      </c>
      <c r="V55" s="72">
        <v>607.6</v>
      </c>
      <c r="W55" s="72">
        <v>26.4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1140</v>
      </c>
      <c r="AG55" s="72">
        <f t="shared" si="11"/>
        <v>230.39999999999986</v>
      </c>
      <c r="AH55" s="21"/>
      <c r="AI55" s="21"/>
    </row>
    <row r="56" spans="1:35" s="18" customFormat="1" ht="15" customHeight="1">
      <c r="A56" s="98" t="s">
        <v>1</v>
      </c>
      <c r="B56" s="97">
        <v>7.5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>
        <v>7.5</v>
      </c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7.5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384.6</v>
      </c>
      <c r="C57" s="97">
        <v>199.59999999999997</v>
      </c>
      <c r="D57" s="72"/>
      <c r="E57" s="72"/>
      <c r="F57" s="72"/>
      <c r="G57" s="72"/>
      <c r="H57" s="72"/>
      <c r="I57" s="72"/>
      <c r="J57" s="72"/>
      <c r="K57" s="72"/>
      <c r="L57" s="72">
        <v>98.5</v>
      </c>
      <c r="M57" s="72"/>
      <c r="N57" s="72"/>
      <c r="O57" s="72"/>
      <c r="P57" s="72"/>
      <c r="Q57" s="72"/>
      <c r="R57" s="72">
        <v>76.9</v>
      </c>
      <c r="S57" s="72">
        <v>0.5</v>
      </c>
      <c r="T57" s="72"/>
      <c r="U57" s="72"/>
      <c r="V57" s="72"/>
      <c r="W57" s="72">
        <v>2.2</v>
      </c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178.1</v>
      </c>
      <c r="AG57" s="72">
        <f t="shared" si="11"/>
        <v>406.1</v>
      </c>
      <c r="AI57" s="21"/>
    </row>
    <row r="58" spans="1:35" s="18" customFormat="1" ht="15.75">
      <c r="A58" s="98" t="s">
        <v>16</v>
      </c>
      <c r="B58" s="99">
        <f>17+8.7</f>
        <v>25.7</v>
      </c>
      <c r="C58" s="97">
        <v>28.9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>
        <v>45.9</v>
      </c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45.9</v>
      </c>
      <c r="AG58" s="72">
        <f t="shared" si="11"/>
        <v>8.699999999999996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1062.2</v>
      </c>
      <c r="C60" s="97">
        <v>318.4000000000004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111.5</v>
      </c>
      <c r="H60" s="72">
        <f t="shared" si="12"/>
        <v>0</v>
      </c>
      <c r="I60" s="72">
        <f t="shared" si="12"/>
        <v>0</v>
      </c>
      <c r="J60" s="72">
        <f t="shared" si="12"/>
        <v>189.8</v>
      </c>
      <c r="K60" s="72">
        <f t="shared" si="12"/>
        <v>1.9</v>
      </c>
      <c r="L60" s="72">
        <f t="shared" si="12"/>
        <v>98.39999999999998</v>
      </c>
      <c r="M60" s="72">
        <f t="shared" si="12"/>
        <v>343.2</v>
      </c>
      <c r="N60" s="72">
        <f t="shared" si="12"/>
        <v>0</v>
      </c>
      <c r="O60" s="72">
        <f t="shared" si="12"/>
        <v>137</v>
      </c>
      <c r="P60" s="72">
        <f t="shared" si="12"/>
        <v>0</v>
      </c>
      <c r="Q60" s="72">
        <f t="shared" si="12"/>
        <v>2.4</v>
      </c>
      <c r="R60" s="72">
        <f t="shared" si="12"/>
        <v>20.1</v>
      </c>
      <c r="S60" s="72">
        <f t="shared" si="12"/>
        <v>6.9</v>
      </c>
      <c r="T60" s="72">
        <f t="shared" si="12"/>
        <v>0</v>
      </c>
      <c r="U60" s="72">
        <f t="shared" si="12"/>
        <v>0</v>
      </c>
      <c r="V60" s="72">
        <f t="shared" si="12"/>
        <v>38.10000000000002</v>
      </c>
      <c r="W60" s="72">
        <f t="shared" si="12"/>
        <v>232.70000000000002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1182.000000000001</v>
      </c>
      <c r="AG60" s="72">
        <f>AG54-AG55-AG57-AG59-AG56-AG58</f>
        <v>198.5999999999994</v>
      </c>
      <c r="AI60" s="21"/>
    </row>
    <row r="61" spans="1:35" s="18" customFormat="1" ht="15" customHeight="1">
      <c r="A61" s="96" t="s">
        <v>10</v>
      </c>
      <c r="B61" s="97">
        <f>92+25</f>
        <v>117</v>
      </c>
      <c r="C61" s="97">
        <v>14.400000000000006</v>
      </c>
      <c r="D61" s="72"/>
      <c r="E61" s="72"/>
      <c r="F61" s="72"/>
      <c r="G61" s="72"/>
      <c r="H61" s="72">
        <v>25.1</v>
      </c>
      <c r="I61" s="72"/>
      <c r="J61" s="72"/>
      <c r="K61" s="72"/>
      <c r="L61" s="72">
        <v>13.5</v>
      </c>
      <c r="M61" s="72"/>
      <c r="N61" s="72"/>
      <c r="O61" s="72"/>
      <c r="P61" s="72"/>
      <c r="Q61" s="72">
        <v>2.2</v>
      </c>
      <c r="R61" s="72"/>
      <c r="S61" s="72">
        <v>2</v>
      </c>
      <c r="T61" s="72">
        <v>16.6</v>
      </c>
      <c r="U61" s="72">
        <v>22.9</v>
      </c>
      <c r="V61" s="72">
        <v>12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94.30000000000001</v>
      </c>
      <c r="AG61" s="72">
        <f aca="true" t="shared" si="14" ref="AG61:AG67">B61+C61-AF61</f>
        <v>37.099999999999994</v>
      </c>
      <c r="AI61" s="21"/>
    </row>
    <row r="62" spans="1:35" s="18" customFormat="1" ht="15" customHeight="1">
      <c r="A62" s="96" t="s">
        <v>11</v>
      </c>
      <c r="B62" s="97">
        <v>5551.1</v>
      </c>
      <c r="C62" s="97">
        <v>2119.7999999999997</v>
      </c>
      <c r="D62" s="72"/>
      <c r="E62" s="72"/>
      <c r="F62" s="72"/>
      <c r="G62" s="72">
        <v>70.2</v>
      </c>
      <c r="H62" s="72">
        <v>233.5</v>
      </c>
      <c r="I62" s="72"/>
      <c r="J62" s="72"/>
      <c r="K62" s="72">
        <v>966</v>
      </c>
      <c r="L62" s="72">
        <v>52.6</v>
      </c>
      <c r="M62" s="72">
        <v>123</v>
      </c>
      <c r="N62" s="72">
        <v>9.9</v>
      </c>
      <c r="O62" s="72"/>
      <c r="P62" s="72"/>
      <c r="Q62" s="72">
        <v>532.3</v>
      </c>
      <c r="R62" s="72">
        <v>8.3</v>
      </c>
      <c r="S62" s="72"/>
      <c r="T62" s="72">
        <v>75.6</v>
      </c>
      <c r="U62" s="72">
        <v>313.4</v>
      </c>
      <c r="V62" s="72">
        <v>1771.2</v>
      </c>
      <c r="W62" s="72">
        <v>5.9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4161.9</v>
      </c>
      <c r="AG62" s="72">
        <f t="shared" si="14"/>
        <v>3509</v>
      </c>
      <c r="AI62" s="21"/>
    </row>
    <row r="63" spans="1:35" s="18" customFormat="1" ht="15.75">
      <c r="A63" s="98" t="s">
        <v>5</v>
      </c>
      <c r="B63" s="97">
        <v>2447.4</v>
      </c>
      <c r="C63" s="97">
        <v>336.7000000000003</v>
      </c>
      <c r="D63" s="72"/>
      <c r="E63" s="72"/>
      <c r="F63" s="72"/>
      <c r="G63" s="72"/>
      <c r="H63" s="72"/>
      <c r="I63" s="72"/>
      <c r="J63" s="72"/>
      <c r="K63" s="72">
        <v>792.3</v>
      </c>
      <c r="L63" s="72"/>
      <c r="M63" s="72"/>
      <c r="N63" s="72">
        <v>9.9</v>
      </c>
      <c r="O63" s="72"/>
      <c r="P63" s="72"/>
      <c r="Q63" s="72"/>
      <c r="R63" s="72"/>
      <c r="S63" s="72"/>
      <c r="T63" s="72"/>
      <c r="U63" s="72">
        <v>66.7</v>
      </c>
      <c r="V63" s="72">
        <v>1210.9</v>
      </c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2079.8</v>
      </c>
      <c r="AG63" s="72">
        <f t="shared" si="14"/>
        <v>704.3000000000002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535.2</v>
      </c>
      <c r="C65" s="97">
        <v>329.5</v>
      </c>
      <c r="D65" s="72"/>
      <c r="E65" s="72"/>
      <c r="F65" s="72"/>
      <c r="G65" s="72">
        <v>6.6</v>
      </c>
      <c r="H65" s="72"/>
      <c r="I65" s="72"/>
      <c r="J65" s="72"/>
      <c r="K65" s="72">
        <v>70.1</v>
      </c>
      <c r="L65" s="72"/>
      <c r="M65" s="72"/>
      <c r="N65" s="72"/>
      <c r="O65" s="72"/>
      <c r="P65" s="72"/>
      <c r="Q65" s="72">
        <v>102.1</v>
      </c>
      <c r="R65" s="72">
        <v>3.2</v>
      </c>
      <c r="S65" s="72"/>
      <c r="T65" s="72"/>
      <c r="U65" s="72"/>
      <c r="V65" s="72">
        <v>185.8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367.79999999999995</v>
      </c>
      <c r="AG65" s="72">
        <f t="shared" si="14"/>
        <v>496.9000000000001</v>
      </c>
      <c r="AH65" s="21"/>
      <c r="AI65" s="21"/>
    </row>
    <row r="66" spans="1:35" s="18" customFormat="1" ht="15.75">
      <c r="A66" s="98" t="s">
        <v>2</v>
      </c>
      <c r="B66" s="97">
        <v>211.3</v>
      </c>
      <c r="C66" s="97">
        <v>217.29999999999998</v>
      </c>
      <c r="D66" s="72"/>
      <c r="E66" s="72"/>
      <c r="F66" s="72"/>
      <c r="G66" s="72">
        <v>2.4</v>
      </c>
      <c r="H66" s="72"/>
      <c r="I66" s="72"/>
      <c r="J66" s="72"/>
      <c r="K66" s="72">
        <v>14.5</v>
      </c>
      <c r="L66" s="72"/>
      <c r="M66" s="72"/>
      <c r="N66" s="72"/>
      <c r="O66" s="72"/>
      <c r="P66" s="72"/>
      <c r="Q66" s="72">
        <v>23</v>
      </c>
      <c r="R66" s="72"/>
      <c r="S66" s="72"/>
      <c r="T66" s="72"/>
      <c r="U66" s="72"/>
      <c r="V66" s="72">
        <v>268</v>
      </c>
      <c r="W66" s="72">
        <v>5.9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313.79999999999995</v>
      </c>
      <c r="AG66" s="72">
        <f t="shared" si="14"/>
        <v>114.80000000000007</v>
      </c>
      <c r="AI66" s="21"/>
    </row>
    <row r="67" spans="1:35" s="18" customFormat="1" ht="15.75">
      <c r="A67" s="98" t="s">
        <v>16</v>
      </c>
      <c r="B67" s="97">
        <v>326</v>
      </c>
      <c r="C67" s="97">
        <v>353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242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242</v>
      </c>
      <c r="AG67" s="72">
        <f t="shared" si="14"/>
        <v>437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2031.2</v>
      </c>
      <c r="C68" s="97">
        <v>883.2999999999995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61.199999999999996</v>
      </c>
      <c r="H68" s="72">
        <f t="shared" si="15"/>
        <v>233.5</v>
      </c>
      <c r="I68" s="72">
        <f t="shared" si="15"/>
        <v>0</v>
      </c>
      <c r="J68" s="72">
        <f t="shared" si="15"/>
        <v>0</v>
      </c>
      <c r="K68" s="72">
        <f t="shared" si="15"/>
        <v>89.10000000000005</v>
      </c>
      <c r="L68" s="72">
        <f t="shared" si="15"/>
        <v>52.6</v>
      </c>
      <c r="M68" s="72">
        <f t="shared" si="15"/>
        <v>123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165.19999999999996</v>
      </c>
      <c r="R68" s="72">
        <f t="shared" si="15"/>
        <v>5.1000000000000005</v>
      </c>
      <c r="S68" s="72">
        <f t="shared" si="15"/>
        <v>0</v>
      </c>
      <c r="T68" s="72">
        <f t="shared" si="15"/>
        <v>75.6</v>
      </c>
      <c r="U68" s="72">
        <f t="shared" si="15"/>
        <v>246.7</v>
      </c>
      <c r="V68" s="72">
        <f t="shared" si="15"/>
        <v>106.49999999999994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1158.5</v>
      </c>
      <c r="AG68" s="72">
        <f>AG62-AG63-AG66-AG67-AG65-AG64</f>
        <v>1755.9999999999995</v>
      </c>
      <c r="AI68" s="21"/>
    </row>
    <row r="69" spans="1:35" s="18" customFormat="1" ht="31.5">
      <c r="A69" s="96" t="s">
        <v>45</v>
      </c>
      <c r="B69" s="97">
        <f>2033.6+50</f>
        <v>2083.6</v>
      </c>
      <c r="C69" s="97">
        <v>18.300000000000182</v>
      </c>
      <c r="D69" s="72"/>
      <c r="E69" s="72"/>
      <c r="F69" s="72"/>
      <c r="G69" s="72"/>
      <c r="H69" s="72"/>
      <c r="I69" s="72"/>
      <c r="J69" s="72"/>
      <c r="K69" s="72"/>
      <c r="L69" s="72"/>
      <c r="M69" s="72">
        <v>879.7</v>
      </c>
      <c r="N69" s="72"/>
      <c r="O69" s="72"/>
      <c r="P69" s="72">
        <v>893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1772.7</v>
      </c>
      <c r="AG69" s="89">
        <f aca="true" t="shared" si="16" ref="AG69:AG92">B69+C69-AF69</f>
        <v>329.20000000000005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1303+42.6</f>
        <v>1345.6</v>
      </c>
      <c r="C71" s="109">
        <v>1399.4</v>
      </c>
      <c r="D71" s="80"/>
      <c r="E71" s="80">
        <v>469.6</v>
      </c>
      <c r="F71" s="80"/>
      <c r="G71" s="80"/>
      <c r="H71" s="80">
        <v>898.6</v>
      </c>
      <c r="I71" s="80"/>
      <c r="J71" s="80"/>
      <c r="K71" s="80"/>
      <c r="L71" s="80"/>
      <c r="M71" s="80">
        <v>871.8</v>
      </c>
      <c r="N71" s="80"/>
      <c r="O71" s="80"/>
      <c r="P71" s="80"/>
      <c r="Q71" s="80"/>
      <c r="R71" s="80">
        <v>55</v>
      </c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2295</v>
      </c>
      <c r="AG71" s="89">
        <f t="shared" si="16"/>
        <v>450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1968.1+10-65.8</f>
        <v>1912.3</v>
      </c>
      <c r="C72" s="97">
        <v>1395.4999999999998</v>
      </c>
      <c r="D72" s="72"/>
      <c r="E72" s="72">
        <v>53.3</v>
      </c>
      <c r="F72" s="72">
        <v>109</v>
      </c>
      <c r="G72" s="72">
        <v>1.4</v>
      </c>
      <c r="H72" s="72">
        <f>1024.1-879.7</f>
        <v>144.39999999999986</v>
      </c>
      <c r="I72" s="72"/>
      <c r="J72" s="72">
        <v>19.8</v>
      </c>
      <c r="K72" s="72">
        <v>10</v>
      </c>
      <c r="L72" s="72">
        <v>115.6</v>
      </c>
      <c r="M72" s="72">
        <v>53.3</v>
      </c>
      <c r="N72" s="72">
        <v>13.7</v>
      </c>
      <c r="O72" s="72">
        <v>22.1</v>
      </c>
      <c r="P72" s="72">
        <v>4.9</v>
      </c>
      <c r="Q72" s="72"/>
      <c r="R72" s="72">
        <v>9</v>
      </c>
      <c r="S72" s="72">
        <v>3.6</v>
      </c>
      <c r="T72" s="72">
        <v>409.7</v>
      </c>
      <c r="U72" s="72">
        <f>170.4-140.9</f>
        <v>29.5</v>
      </c>
      <c r="V72" s="72">
        <v>95.2</v>
      </c>
      <c r="W72" s="72"/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1094.5</v>
      </c>
      <c r="AG72" s="89">
        <f t="shared" si="16"/>
        <v>2213.2999999999997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80.5</v>
      </c>
      <c r="W73" s="72"/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80.5</v>
      </c>
      <c r="AG73" s="89">
        <f t="shared" si="16"/>
        <v>0.09999999999999432</v>
      </c>
      <c r="AI73" s="21"/>
    </row>
    <row r="74" spans="1:35" s="18" customFormat="1" ht="15" customHeight="1">
      <c r="A74" s="98" t="s">
        <v>2</v>
      </c>
      <c r="B74" s="97">
        <f>323.4+55</f>
        <v>378.4</v>
      </c>
      <c r="C74" s="97">
        <v>191.0999999999999</v>
      </c>
      <c r="D74" s="72"/>
      <c r="E74" s="72">
        <v>53.3</v>
      </c>
      <c r="F74" s="72">
        <v>1.8</v>
      </c>
      <c r="G74" s="72">
        <v>1.1</v>
      </c>
      <c r="H74" s="72">
        <v>124.9</v>
      </c>
      <c r="I74" s="72"/>
      <c r="J74" s="72"/>
      <c r="K74" s="72"/>
      <c r="L74" s="72">
        <f>24.9+29.8</f>
        <v>54.7</v>
      </c>
      <c r="M74" s="72"/>
      <c r="N74" s="72"/>
      <c r="O74" s="72">
        <v>0.5</v>
      </c>
      <c r="P74" s="72">
        <v>0.6</v>
      </c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236.9</v>
      </c>
      <c r="AG74" s="89">
        <f t="shared" si="16"/>
        <v>332.5999999999999</v>
      </c>
      <c r="AI74" s="21"/>
    </row>
    <row r="75" spans="1:35" s="18" customFormat="1" ht="15" customHeight="1">
      <c r="A75" s="98" t="s">
        <v>16</v>
      </c>
      <c r="B75" s="97">
        <f>10+11.6</f>
        <v>21.6</v>
      </c>
      <c r="C75" s="97">
        <v>3.8999999999999986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>
        <v>7.7</v>
      </c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7.7</v>
      </c>
      <c r="AG75" s="89">
        <f t="shared" si="16"/>
        <v>17.8</v>
      </c>
      <c r="AI75" s="21"/>
    </row>
    <row r="76" spans="1:35" s="112" customFormat="1" ht="15.75">
      <c r="A76" s="111" t="s">
        <v>48</v>
      </c>
      <c r="B76" s="97">
        <v>198.7</v>
      </c>
      <c r="C76" s="97">
        <v>49.20000000000002</v>
      </c>
      <c r="D76" s="72"/>
      <c r="E76" s="80"/>
      <c r="F76" s="80"/>
      <c r="G76" s="80"/>
      <c r="H76" s="80"/>
      <c r="I76" s="80"/>
      <c r="J76" s="80"/>
      <c r="K76" s="80">
        <v>76.4</v>
      </c>
      <c r="L76" s="80"/>
      <c r="M76" s="80"/>
      <c r="N76" s="80"/>
      <c r="O76" s="80"/>
      <c r="P76" s="80"/>
      <c r="Q76" s="80"/>
      <c r="R76" s="80"/>
      <c r="S76" s="80"/>
      <c r="T76" s="80"/>
      <c r="U76" s="80">
        <v>140.9</v>
      </c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217.3</v>
      </c>
      <c r="AG76" s="89">
        <f t="shared" si="16"/>
        <v>30.599999999999994</v>
      </c>
      <c r="AI76" s="21"/>
    </row>
    <row r="77" spans="1:35" s="112" customFormat="1" ht="15.75">
      <c r="A77" s="98" t="s">
        <v>5</v>
      </c>
      <c r="B77" s="97">
        <v>136.2</v>
      </c>
      <c r="C77" s="97">
        <v>8.800000000000011</v>
      </c>
      <c r="D77" s="72"/>
      <c r="E77" s="80"/>
      <c r="F77" s="80"/>
      <c r="G77" s="80"/>
      <c r="H77" s="80"/>
      <c r="I77" s="80"/>
      <c r="J77" s="80"/>
      <c r="K77" s="80">
        <v>59</v>
      </c>
      <c r="L77" s="80"/>
      <c r="M77" s="80"/>
      <c r="N77" s="80"/>
      <c r="O77" s="80"/>
      <c r="P77" s="80"/>
      <c r="Q77" s="80"/>
      <c r="R77" s="80"/>
      <c r="S77" s="80"/>
      <c r="T77" s="80"/>
      <c r="U77" s="80">
        <v>82.2</v>
      </c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141.2</v>
      </c>
      <c r="AG77" s="89">
        <f t="shared" si="16"/>
        <v>3.8000000000000114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7.5</v>
      </c>
      <c r="C80" s="97">
        <v>8.400000000000002</v>
      </c>
      <c r="D80" s="72"/>
      <c r="E80" s="80"/>
      <c r="F80" s="80"/>
      <c r="G80" s="80"/>
      <c r="H80" s="80"/>
      <c r="I80" s="80"/>
      <c r="J80" s="80"/>
      <c r="K80" s="80">
        <v>7.4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7.4</v>
      </c>
      <c r="AG80" s="89">
        <f t="shared" si="16"/>
        <v>8.500000000000002</v>
      </c>
      <c r="AI80" s="21"/>
    </row>
    <row r="81" spans="1:35" s="112" customFormat="1" ht="15.75">
      <c r="A81" s="111" t="s">
        <v>49</v>
      </c>
      <c r="B81" s="97">
        <v>29.5</v>
      </c>
      <c r="C81" s="109">
        <v>0</v>
      </c>
      <c r="D81" s="80"/>
      <c r="E81" s="80"/>
      <c r="F81" s="80"/>
      <c r="G81" s="80"/>
      <c r="H81" s="80"/>
      <c r="I81" s="80"/>
      <c r="J81" s="80"/>
      <c r="K81" s="80">
        <v>29.5</v>
      </c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29.5</v>
      </c>
      <c r="AG81" s="89">
        <f t="shared" si="16"/>
        <v>0</v>
      </c>
      <c r="AI81" s="21"/>
    </row>
    <row r="82" spans="1:35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72">
        <f t="shared" si="13"/>
        <v>0</v>
      </c>
      <c r="AG82" s="89">
        <f t="shared" si="16"/>
        <v>0</v>
      </c>
      <c r="AI82" s="21"/>
    </row>
    <row r="83" spans="1:35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72">
        <f t="shared" si="13"/>
        <v>0</v>
      </c>
      <c r="AG83" s="72">
        <f t="shared" si="16"/>
        <v>0</v>
      </c>
      <c r="AI83" s="21"/>
    </row>
    <row r="84" spans="1:35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72">
        <f t="shared" si="13"/>
        <v>0</v>
      </c>
      <c r="AG84" s="72">
        <f t="shared" si="16"/>
        <v>0</v>
      </c>
      <c r="AI84" s="21"/>
    </row>
    <row r="85" spans="1:35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72">
        <f t="shared" si="13"/>
        <v>0</v>
      </c>
      <c r="AG85" s="72">
        <f t="shared" si="16"/>
        <v>0</v>
      </c>
      <c r="AI85" s="21"/>
    </row>
    <row r="86" spans="1:35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72">
        <f t="shared" si="13"/>
        <v>0</v>
      </c>
      <c r="AG86" s="72">
        <f t="shared" si="16"/>
        <v>0</v>
      </c>
      <c r="AI86" s="21"/>
    </row>
    <row r="87" spans="1:35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72">
        <f t="shared" si="13"/>
        <v>0</v>
      </c>
      <c r="AG87" s="72">
        <f t="shared" si="16"/>
        <v>0</v>
      </c>
      <c r="AI87" s="21"/>
    </row>
    <row r="88" spans="1:35" s="18" customFormat="1" ht="15.75" hidden="1">
      <c r="A88" s="96" t="s">
        <v>44</v>
      </c>
      <c r="B88" s="97"/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>
        <f t="shared" si="13"/>
        <v>0</v>
      </c>
      <c r="AG88" s="72">
        <f t="shared" si="16"/>
        <v>0</v>
      </c>
      <c r="AH88" s="112"/>
      <c r="AI88" s="21"/>
    </row>
    <row r="89" spans="1:35" s="18" customFormat="1" ht="15.75">
      <c r="A89" s="96" t="s">
        <v>50</v>
      </c>
      <c r="B89" s="97">
        <v>7924.8</v>
      </c>
      <c r="C89" s="97">
        <v>2149.6000000000004</v>
      </c>
      <c r="D89" s="72"/>
      <c r="E89" s="72"/>
      <c r="F89" s="72"/>
      <c r="G89" s="72">
        <v>1136.8</v>
      </c>
      <c r="H89" s="72">
        <v>45.8</v>
      </c>
      <c r="I89" s="72"/>
      <c r="J89" s="72"/>
      <c r="K89" s="72"/>
      <c r="L89" s="72">
        <v>142.4</v>
      </c>
      <c r="M89" s="72"/>
      <c r="N89" s="72"/>
      <c r="O89" s="72"/>
      <c r="P89" s="72"/>
      <c r="Q89" s="72">
        <v>633.4</v>
      </c>
      <c r="R89" s="72"/>
      <c r="S89" s="72">
        <v>904.4</v>
      </c>
      <c r="T89" s="72"/>
      <c r="U89" s="72">
        <v>5049.6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7912.400000000001</v>
      </c>
      <c r="AG89" s="72">
        <f t="shared" si="16"/>
        <v>2162.000000000001</v>
      </c>
      <c r="AH89" s="112"/>
      <c r="AI89" s="21"/>
    </row>
    <row r="90" spans="1:35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>
        <v>1886.8</v>
      </c>
      <c r="I90" s="72"/>
      <c r="J90" s="72"/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>
        <v>1886.8</v>
      </c>
      <c r="Y90" s="72"/>
      <c r="Z90" s="72"/>
      <c r="AA90" s="72"/>
      <c r="AB90" s="72"/>
      <c r="AC90" s="72"/>
      <c r="AD90" s="72"/>
      <c r="AE90" s="72"/>
      <c r="AF90" s="72">
        <f t="shared" si="13"/>
        <v>5660.4</v>
      </c>
      <c r="AG90" s="72">
        <f t="shared" si="16"/>
        <v>0</v>
      </c>
      <c r="AH90" s="112"/>
      <c r="AI90" s="21"/>
    </row>
    <row r="91" spans="1:35" s="18" customFormat="1" ht="15.75">
      <c r="A91" s="96" t="s">
        <v>25</v>
      </c>
      <c r="B91" s="97">
        <v>833.3</v>
      </c>
      <c r="C91" s="97">
        <v>1666.6999999999998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>
        <f t="shared" si="13"/>
        <v>0</v>
      </c>
      <c r="AG91" s="72">
        <f t="shared" si="16"/>
        <v>2500</v>
      </c>
      <c r="AH91" s="112"/>
      <c r="AI91" s="21"/>
    </row>
    <row r="92" spans="1:34" s="18" customFormat="1" ht="15.75">
      <c r="A92" s="96" t="s">
        <v>37</v>
      </c>
      <c r="B92" s="97">
        <v>22098</v>
      </c>
      <c r="C92" s="97">
        <f>18420.7+1.8</f>
        <v>18422.5</v>
      </c>
      <c r="D92" s="72"/>
      <c r="E92" s="72">
        <v>20631.5</v>
      </c>
      <c r="F92" s="72">
        <v>2864.5</v>
      </c>
      <c r="G92" s="72">
        <v>2072.8</v>
      </c>
      <c r="H92" s="72"/>
      <c r="I92" s="72"/>
      <c r="J92" s="72">
        <v>10611.8</v>
      </c>
      <c r="K92" s="72">
        <v>26.4</v>
      </c>
      <c r="L92" s="72">
        <v>-6447.8</v>
      </c>
      <c r="M92" s="72">
        <v>-3782.8</v>
      </c>
      <c r="N92" s="72">
        <v>-4677.3</v>
      </c>
      <c r="O92" s="72">
        <v>4676.1</v>
      </c>
      <c r="P92" s="72"/>
      <c r="Q92" s="72">
        <v>-2746.7</v>
      </c>
      <c r="R92" s="72"/>
      <c r="S92" s="72">
        <v>-2356.3</v>
      </c>
      <c r="T92" s="72"/>
      <c r="U92" s="72"/>
      <c r="V92" s="72">
        <v>-5820.8</v>
      </c>
      <c r="W92" s="72">
        <v>6091.9</v>
      </c>
      <c r="X92" s="72">
        <v>14434.9</v>
      </c>
      <c r="Y92" s="72"/>
      <c r="Z92" s="72"/>
      <c r="AA92" s="72"/>
      <c r="AB92" s="72"/>
      <c r="AC92" s="72"/>
      <c r="AD92" s="72"/>
      <c r="AE92" s="72"/>
      <c r="AF92" s="72">
        <f t="shared" si="13"/>
        <v>35578.200000000004</v>
      </c>
      <c r="AG92" s="72">
        <f t="shared" si="16"/>
        <v>4942.299999999996</v>
      </c>
      <c r="AH92" s="115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217052.4</v>
      </c>
      <c r="C94" s="35">
        <f t="shared" si="17"/>
        <v>73800.6</v>
      </c>
      <c r="D94" s="82">
        <f t="shared" si="17"/>
        <v>0</v>
      </c>
      <c r="E94" s="82">
        <f t="shared" si="17"/>
        <v>21358.3</v>
      </c>
      <c r="F94" s="82">
        <f t="shared" si="17"/>
        <v>3204.4</v>
      </c>
      <c r="G94" s="82">
        <f t="shared" si="17"/>
        <v>5865.6</v>
      </c>
      <c r="H94" s="82">
        <f t="shared" si="17"/>
        <v>7484.600000000001</v>
      </c>
      <c r="I94" s="82">
        <f t="shared" si="17"/>
        <v>0</v>
      </c>
      <c r="J94" s="82">
        <f t="shared" si="17"/>
        <v>15014.099999999999</v>
      </c>
      <c r="K94" s="82">
        <f t="shared" si="17"/>
        <v>28247.40000000001</v>
      </c>
      <c r="L94" s="82">
        <f t="shared" si="17"/>
        <v>11766.099999999999</v>
      </c>
      <c r="M94" s="91">
        <f t="shared" si="17"/>
        <v>3831.8</v>
      </c>
      <c r="N94" s="82">
        <f t="shared" si="17"/>
        <v>4810.699999999998</v>
      </c>
      <c r="O94" s="82">
        <f t="shared" si="17"/>
        <v>11375.300000000001</v>
      </c>
      <c r="P94" s="82">
        <f t="shared" si="17"/>
        <v>3461</v>
      </c>
      <c r="Q94" s="82">
        <f t="shared" si="17"/>
        <v>3460.3</v>
      </c>
      <c r="R94" s="82">
        <f t="shared" si="17"/>
        <v>1154.3999999999999</v>
      </c>
      <c r="S94" s="82">
        <f t="shared" si="17"/>
        <v>3293.8</v>
      </c>
      <c r="T94" s="82">
        <f t="shared" si="17"/>
        <v>12679.3</v>
      </c>
      <c r="U94" s="82">
        <f t="shared" si="17"/>
        <v>50866.90000000001</v>
      </c>
      <c r="V94" s="82">
        <f t="shared" si="17"/>
        <v>3159.3999999999987</v>
      </c>
      <c r="W94" s="82">
        <f t="shared" si="17"/>
        <v>7276.2</v>
      </c>
      <c r="X94" s="82">
        <f t="shared" si="17"/>
        <v>16321.699999999999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214631.29999999996</v>
      </c>
      <c r="AG94" s="83">
        <f>AG10+AG15+AG24+AG33+AG47+AG52+AG54+AG61+AG62+AG69+AG71+AG72+AG76+AG81+AG82+AG83+AG88+AG89+AG90+AG91+AG70+AG40+AG92</f>
        <v>76221.70000000001</v>
      </c>
    </row>
    <row r="95" spans="1:33" ht="15.75">
      <c r="A95" s="3" t="s">
        <v>5</v>
      </c>
      <c r="B95" s="22">
        <f aca="true" t="shared" si="18" ref="B95:AD95">B11+B17+B26+B34+B55+B63+B73+B41+B77+B48</f>
        <v>81492.45999999999</v>
      </c>
      <c r="C95" s="22">
        <f t="shared" si="18"/>
        <v>4334.199999999999</v>
      </c>
      <c r="D95" s="67">
        <f t="shared" si="18"/>
        <v>0</v>
      </c>
      <c r="E95" s="67">
        <f t="shared" si="18"/>
        <v>196.5</v>
      </c>
      <c r="F95" s="67">
        <f t="shared" si="18"/>
        <v>101.4</v>
      </c>
      <c r="G95" s="67">
        <f t="shared" si="18"/>
        <v>134.2</v>
      </c>
      <c r="H95" s="67">
        <f t="shared" si="18"/>
        <v>1.1</v>
      </c>
      <c r="I95" s="67">
        <f t="shared" si="18"/>
        <v>0</v>
      </c>
      <c r="J95" s="67">
        <f t="shared" si="18"/>
        <v>0</v>
      </c>
      <c r="K95" s="67">
        <f t="shared" si="18"/>
        <v>25840.399999999998</v>
      </c>
      <c r="L95" s="67">
        <f t="shared" si="18"/>
        <v>4497.500000000001</v>
      </c>
      <c r="M95" s="72">
        <f t="shared" si="18"/>
        <v>1272.4</v>
      </c>
      <c r="N95" s="67">
        <f t="shared" si="18"/>
        <v>9.9</v>
      </c>
      <c r="O95" s="67">
        <f t="shared" si="18"/>
        <v>0</v>
      </c>
      <c r="P95" s="67">
        <f t="shared" si="18"/>
        <v>0</v>
      </c>
      <c r="Q95" s="67">
        <f t="shared" si="18"/>
        <v>130.1</v>
      </c>
      <c r="R95" s="67">
        <f t="shared" si="18"/>
        <v>0</v>
      </c>
      <c r="S95" s="67">
        <f t="shared" si="18"/>
        <v>0.9</v>
      </c>
      <c r="T95" s="67">
        <f t="shared" si="18"/>
        <v>1054</v>
      </c>
      <c r="U95" s="67">
        <f t="shared" si="18"/>
        <v>37530.69999999999</v>
      </c>
      <c r="V95" s="67">
        <f t="shared" si="18"/>
        <v>7663.4</v>
      </c>
      <c r="W95" s="67">
        <f t="shared" si="18"/>
        <v>891.5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79323.99999999999</v>
      </c>
      <c r="AG95" s="71">
        <f>B95+C95-AF95</f>
        <v>6502.6600000000035</v>
      </c>
    </row>
    <row r="96" spans="1:33" ht="15.75">
      <c r="A96" s="3" t="s">
        <v>2</v>
      </c>
      <c r="B96" s="22">
        <f aca="true" t="shared" si="19" ref="B96:AD96">B12+B20+B29+B36+B57+B66+B44+B80+B74+B53</f>
        <v>20014.699999999997</v>
      </c>
      <c r="C96" s="22">
        <f t="shared" si="19"/>
        <v>22926.899999999994</v>
      </c>
      <c r="D96" s="67">
        <f t="shared" si="19"/>
        <v>0</v>
      </c>
      <c r="E96" s="67">
        <f t="shared" si="19"/>
        <v>53.3</v>
      </c>
      <c r="F96" s="67">
        <f t="shared" si="19"/>
        <v>1.8</v>
      </c>
      <c r="G96" s="67">
        <f t="shared" si="19"/>
        <v>836.6999999999999</v>
      </c>
      <c r="H96" s="67">
        <f t="shared" si="19"/>
        <v>1393.1000000000001</v>
      </c>
      <c r="I96" s="67">
        <f t="shared" si="19"/>
        <v>0</v>
      </c>
      <c r="J96" s="67">
        <f t="shared" si="19"/>
        <v>939.1999999999999</v>
      </c>
      <c r="K96" s="67">
        <f t="shared" si="19"/>
        <v>723.6999999999999</v>
      </c>
      <c r="L96" s="67">
        <f t="shared" si="19"/>
        <v>3031.6</v>
      </c>
      <c r="M96" s="72">
        <f t="shared" si="19"/>
        <v>2522</v>
      </c>
      <c r="N96" s="67">
        <f t="shared" si="19"/>
        <v>1462.6</v>
      </c>
      <c r="O96" s="67">
        <f t="shared" si="19"/>
        <v>5974.1</v>
      </c>
      <c r="P96" s="67">
        <f t="shared" si="19"/>
        <v>1468.1</v>
      </c>
      <c r="Q96" s="67">
        <f t="shared" si="19"/>
        <v>278.7</v>
      </c>
      <c r="R96" s="67">
        <f t="shared" si="19"/>
        <v>777.8</v>
      </c>
      <c r="S96" s="67">
        <f t="shared" si="19"/>
        <v>814</v>
      </c>
      <c r="T96" s="67">
        <f t="shared" si="19"/>
        <v>570.3</v>
      </c>
      <c r="U96" s="67">
        <f t="shared" si="19"/>
        <v>110.60000000000001</v>
      </c>
      <c r="V96" s="67">
        <f t="shared" si="19"/>
        <v>331.1</v>
      </c>
      <c r="W96" s="67">
        <f t="shared" si="19"/>
        <v>2.2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21290.899999999994</v>
      </c>
      <c r="AG96" s="71">
        <f>B96+C96-AF96</f>
        <v>21650.699999999997</v>
      </c>
    </row>
    <row r="97" spans="1:33" ht="15.75">
      <c r="A97" s="3" t="s">
        <v>3</v>
      </c>
      <c r="B97" s="22">
        <f aca="true" t="shared" si="20" ref="B97:AA97">B18+B27+B42+B64+B78</f>
        <v>36.3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0.9</v>
      </c>
      <c r="I97" s="67">
        <f t="shared" si="20"/>
        <v>0</v>
      </c>
      <c r="J97" s="67">
        <f t="shared" si="20"/>
        <v>0.3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8.7</v>
      </c>
      <c r="U97" s="67">
        <f t="shared" si="20"/>
        <v>9.7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19.599999999999998</v>
      </c>
      <c r="AG97" s="71">
        <f>B97+C97-AF97</f>
        <v>16.7</v>
      </c>
    </row>
    <row r="98" spans="1:33" ht="15.75">
      <c r="A98" s="3" t="s">
        <v>1</v>
      </c>
      <c r="B98" s="22">
        <f aca="true" t="shared" si="21" ref="B98:AD98">B19+B28+B65+B35+B43+B56+B79</f>
        <v>4833.4</v>
      </c>
      <c r="C98" s="22">
        <f t="shared" si="21"/>
        <v>3873.3999999999996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246.9</v>
      </c>
      <c r="H98" s="67">
        <f t="shared" si="21"/>
        <v>427.1</v>
      </c>
      <c r="I98" s="67">
        <f t="shared" si="21"/>
        <v>0</v>
      </c>
      <c r="J98" s="67">
        <f t="shared" si="21"/>
        <v>446.9</v>
      </c>
      <c r="K98" s="67">
        <f t="shared" si="21"/>
        <v>172.2</v>
      </c>
      <c r="L98" s="67">
        <f t="shared" si="21"/>
        <v>56.5</v>
      </c>
      <c r="M98" s="72">
        <f t="shared" si="21"/>
        <v>154.6</v>
      </c>
      <c r="N98" s="67">
        <f t="shared" si="21"/>
        <v>774.4</v>
      </c>
      <c r="O98" s="67">
        <f t="shared" si="21"/>
        <v>0</v>
      </c>
      <c r="P98" s="67">
        <f t="shared" si="21"/>
        <v>945</v>
      </c>
      <c r="Q98" s="67">
        <f t="shared" si="21"/>
        <v>502.1</v>
      </c>
      <c r="R98" s="67">
        <f t="shared" si="21"/>
        <v>4.2</v>
      </c>
      <c r="S98" s="67">
        <f t="shared" si="21"/>
        <v>1121.4</v>
      </c>
      <c r="T98" s="67">
        <f t="shared" si="21"/>
        <v>59</v>
      </c>
      <c r="U98" s="67">
        <f t="shared" si="21"/>
        <v>682.9</v>
      </c>
      <c r="V98" s="67">
        <f t="shared" si="21"/>
        <v>204.5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5797.699999999999</v>
      </c>
      <c r="AG98" s="71">
        <f>B98+C98-AF98</f>
        <v>2909.1000000000004</v>
      </c>
    </row>
    <row r="99" spans="1:33" ht="15.75">
      <c r="A99" s="3" t="s">
        <v>16</v>
      </c>
      <c r="B99" s="22">
        <f aca="true" t="shared" si="22" ref="B99:X99">B21+B30+B49+B37+B58+B13+B75+B67</f>
        <v>7633.900000000001</v>
      </c>
      <c r="C99" s="22">
        <f t="shared" si="22"/>
        <v>2159.8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582.9</v>
      </c>
      <c r="H99" s="67">
        <f t="shared" si="22"/>
        <v>250.5</v>
      </c>
      <c r="I99" s="67">
        <f t="shared" si="22"/>
        <v>0</v>
      </c>
      <c r="J99" s="67">
        <f t="shared" si="22"/>
        <v>1833.3</v>
      </c>
      <c r="K99" s="67">
        <f t="shared" si="22"/>
        <v>55</v>
      </c>
      <c r="L99" s="67">
        <f t="shared" si="22"/>
        <v>0</v>
      </c>
      <c r="M99" s="72">
        <f t="shared" si="22"/>
        <v>376.7</v>
      </c>
      <c r="N99" s="67">
        <f t="shared" si="22"/>
        <v>120.2</v>
      </c>
      <c r="O99" s="67">
        <f t="shared" si="22"/>
        <v>529.4</v>
      </c>
      <c r="P99" s="67">
        <f t="shared" si="22"/>
        <v>0</v>
      </c>
      <c r="Q99" s="67">
        <f t="shared" si="22"/>
        <v>2103</v>
      </c>
      <c r="R99" s="67">
        <f t="shared" si="22"/>
        <v>93.69999999999999</v>
      </c>
      <c r="S99" s="67">
        <f t="shared" si="22"/>
        <v>419.7</v>
      </c>
      <c r="T99" s="67">
        <f t="shared" si="22"/>
        <v>713.5</v>
      </c>
      <c r="U99" s="67">
        <f t="shared" si="22"/>
        <v>11.5</v>
      </c>
      <c r="V99" s="67">
        <f t="shared" si="22"/>
        <v>241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7330.4</v>
      </c>
      <c r="AG99" s="71">
        <f>B99+C99-AF99</f>
        <v>2463.300000000001</v>
      </c>
    </row>
    <row r="100" spans="1:33" ht="12.75">
      <c r="A100" s="1" t="s">
        <v>35</v>
      </c>
      <c r="B100" s="2">
        <f aca="true" t="shared" si="24" ref="B100:AD100">B94-B95-B96-B97-B98-B99</f>
        <v>103041.64000000001</v>
      </c>
      <c r="C100" s="2">
        <f t="shared" si="24"/>
        <v>40506.30000000001</v>
      </c>
      <c r="D100" s="84">
        <f t="shared" si="24"/>
        <v>0</v>
      </c>
      <c r="E100" s="84">
        <f t="shared" si="24"/>
        <v>21108.5</v>
      </c>
      <c r="F100" s="84">
        <f t="shared" si="24"/>
        <v>3101.2</v>
      </c>
      <c r="G100" s="84">
        <f t="shared" si="24"/>
        <v>4064.900000000001</v>
      </c>
      <c r="H100" s="84">
        <f t="shared" si="24"/>
        <v>5411.900000000001</v>
      </c>
      <c r="I100" s="84">
        <f t="shared" si="24"/>
        <v>0</v>
      </c>
      <c r="J100" s="84">
        <f t="shared" si="24"/>
        <v>11794.4</v>
      </c>
      <c r="K100" s="84">
        <f t="shared" si="24"/>
        <v>1456.100000000011</v>
      </c>
      <c r="L100" s="84">
        <f t="shared" si="24"/>
        <v>4180.499999999998</v>
      </c>
      <c r="M100" s="92">
        <f t="shared" si="24"/>
        <v>-493.89999999999986</v>
      </c>
      <c r="N100" s="84">
        <f t="shared" si="24"/>
        <v>2443.5999999999985</v>
      </c>
      <c r="O100" s="84">
        <f t="shared" si="24"/>
        <v>4871.800000000001</v>
      </c>
      <c r="P100" s="84">
        <f t="shared" si="24"/>
        <v>1047.9</v>
      </c>
      <c r="Q100" s="84">
        <f t="shared" si="24"/>
        <v>446.40000000000055</v>
      </c>
      <c r="R100" s="84">
        <f t="shared" si="24"/>
        <v>278.69999999999993</v>
      </c>
      <c r="S100" s="84">
        <f t="shared" si="24"/>
        <v>937.8</v>
      </c>
      <c r="T100" s="84">
        <f t="shared" si="24"/>
        <v>10273.8</v>
      </c>
      <c r="U100" s="84">
        <f t="shared" si="24"/>
        <v>12521.500000000018</v>
      </c>
      <c r="V100" s="84">
        <f t="shared" si="24"/>
        <v>-5280.600000000001</v>
      </c>
      <c r="W100" s="84">
        <f t="shared" si="24"/>
        <v>6382.5</v>
      </c>
      <c r="X100" s="84">
        <f t="shared" si="24"/>
        <v>16321.699999999999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100868.7</v>
      </c>
      <c r="AG100" s="84">
        <f>AG94-AG95-AG96-AG97-AG98-AG99</f>
        <v>42679.24000000001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1">
      <pane xSplit="3" ySplit="9" topLeftCell="D3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8" sqref="AE8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customWidth="1"/>
    <col min="5" max="5" width="9.75390625" style="0" customWidth="1"/>
    <col min="6" max="7" width="8.25390625" style="0" customWidth="1"/>
    <col min="8" max="8" width="12.125" style="0" customWidth="1"/>
    <col min="9" max="9" width="8.75390625" style="0" hidden="1" customWidth="1"/>
    <col min="10" max="10" width="10.75390625" style="18" customWidth="1"/>
    <col min="11" max="11" width="11.375" style="0" customWidth="1"/>
    <col min="12" max="12" width="11.00390625" style="0" customWidth="1"/>
    <col min="13" max="13" width="10.00390625" style="18" customWidth="1"/>
    <col min="14" max="14" width="9.75390625" style="0" customWidth="1"/>
    <col min="15" max="15" width="10.875" style="0" customWidth="1"/>
    <col min="16" max="16" width="9.625" style="0" customWidth="1"/>
    <col min="17" max="17" width="8.25390625" style="0" customWidth="1"/>
    <col min="18" max="18" width="9.00390625" style="0" customWidth="1"/>
    <col min="19" max="19" width="8.75390625" style="18" customWidth="1"/>
    <col min="20" max="20" width="10.875" style="18" customWidth="1"/>
    <col min="21" max="21" width="10.875" style="0" customWidth="1"/>
    <col min="22" max="22" width="11.00390625" style="0" customWidth="1"/>
    <col min="23" max="23" width="10.625" style="0" customWidth="1"/>
    <col min="24" max="24" width="11.7539062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2.125" style="0" customWidth="1"/>
    <col min="32" max="32" width="11.125" style="0" customWidth="1"/>
    <col min="33" max="33" width="14.875" style="0" customWidth="1"/>
    <col min="34" max="34" width="13.625" style="0" customWidth="1"/>
  </cols>
  <sheetData>
    <row r="1" spans="1:33" ht="21" customHeight="1">
      <c r="A1" s="193" t="s">
        <v>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</row>
    <row r="2" spans="1:33" ht="22.5" customHeight="1">
      <c r="A2" s="194" t="s">
        <v>59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57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8</v>
      </c>
      <c r="K4" s="8">
        <v>9</v>
      </c>
      <c r="L4" s="8">
        <v>10</v>
      </c>
      <c r="M4" s="19">
        <v>11</v>
      </c>
      <c r="N4" s="8">
        <v>12</v>
      </c>
      <c r="O4" s="8">
        <v>15</v>
      </c>
      <c r="P4" s="8">
        <v>16</v>
      </c>
      <c r="Q4" s="8">
        <v>17</v>
      </c>
      <c r="R4" s="8">
        <v>18</v>
      </c>
      <c r="S4" s="19">
        <v>19</v>
      </c>
      <c r="T4" s="19">
        <v>22</v>
      </c>
      <c r="U4" s="8">
        <v>23</v>
      </c>
      <c r="V4" s="8">
        <v>24</v>
      </c>
      <c r="W4" s="8">
        <v>25</v>
      </c>
      <c r="X4" s="19">
        <v>26</v>
      </c>
      <c r="Y4" s="19">
        <v>27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9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9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40058</v>
      </c>
      <c r="C7" s="86">
        <v>940.7000000000007</v>
      </c>
      <c r="D7" s="37"/>
      <c r="E7" s="38">
        <v>20029</v>
      </c>
      <c r="F7" s="38"/>
      <c r="G7" s="38"/>
      <c r="H7" s="56"/>
      <c r="I7" s="38"/>
      <c r="J7" s="39"/>
      <c r="K7" s="38"/>
      <c r="L7" s="38"/>
      <c r="M7" s="39"/>
      <c r="N7" s="38">
        <v>20029</v>
      </c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C7+E7+N7-AF16-AF25</f>
        <v>957.0999999999949</v>
      </c>
      <c r="AF7" s="54"/>
      <c r="AG7" s="40"/>
    </row>
    <row r="8" spans="1:55" ht="18" customHeight="1">
      <c r="A8" s="47" t="s">
        <v>30</v>
      </c>
      <c r="B8" s="33">
        <f>SUM(D8:AB8)</f>
        <v>176511.06341000003</v>
      </c>
      <c r="C8" s="87">
        <v>33508.600000000035</v>
      </c>
      <c r="D8" s="59">
        <v>11737.4</v>
      </c>
      <c r="E8" s="60">
        <v>3590.4</v>
      </c>
      <c r="F8" s="61">
        <v>2980.8</v>
      </c>
      <c r="G8" s="61">
        <v>3620</v>
      </c>
      <c r="H8" s="61">
        <v>4639.7</v>
      </c>
      <c r="I8" s="61"/>
      <c r="J8" s="61">
        <v>35408.3</v>
      </c>
      <c r="K8" s="62">
        <v>9765.6</v>
      </c>
      <c r="L8" s="61">
        <v>4740.7</v>
      </c>
      <c r="M8" s="62">
        <v>3112.7</v>
      </c>
      <c r="N8" s="61">
        <v>2972.7</v>
      </c>
      <c r="O8" s="61">
        <v>8696.6</v>
      </c>
      <c r="P8" s="61">
        <v>11200.3</v>
      </c>
      <c r="Q8" s="61">
        <v>5086.6</v>
      </c>
      <c r="R8" s="61">
        <v>4091.4</v>
      </c>
      <c r="S8" s="63">
        <v>5191.3</v>
      </c>
      <c r="T8" s="63">
        <v>11138.1</v>
      </c>
      <c r="U8" s="61">
        <v>12150.1</v>
      </c>
      <c r="V8" s="61">
        <v>8312.77041</v>
      </c>
      <c r="W8" s="61">
        <v>8092.393</v>
      </c>
      <c r="X8" s="62">
        <v>19983.2</v>
      </c>
      <c r="Y8" s="62"/>
      <c r="Z8" s="62"/>
      <c r="AA8" s="62"/>
      <c r="AB8" s="61"/>
      <c r="AC8" s="64"/>
      <c r="AD8" s="64"/>
      <c r="AE8" s="65">
        <f>SUM(D8:AD8)+C8-AF9+AF16+AF25</f>
        <v>46007.478240000084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201521.0000000001</v>
      </c>
      <c r="C9" s="23">
        <f t="shared" si="0"/>
        <v>76221.70000000001</v>
      </c>
      <c r="D9" s="68">
        <f t="shared" si="0"/>
        <v>3700.3</v>
      </c>
      <c r="E9" s="68">
        <f t="shared" si="0"/>
        <v>1323.8</v>
      </c>
      <c r="F9" s="68">
        <f t="shared" si="0"/>
        <v>1718.3000000000002</v>
      </c>
      <c r="G9" s="68">
        <f t="shared" si="0"/>
        <v>4638.700000000001</v>
      </c>
      <c r="H9" s="68">
        <f t="shared" si="0"/>
        <v>15927.800000000001</v>
      </c>
      <c r="I9" s="68">
        <f t="shared" si="0"/>
        <v>0</v>
      </c>
      <c r="J9" s="68">
        <f t="shared" si="0"/>
        <v>6397.4</v>
      </c>
      <c r="K9" s="68">
        <f t="shared" si="0"/>
        <v>5330.6</v>
      </c>
      <c r="L9" s="68">
        <f t="shared" si="0"/>
        <v>17463.600000000002</v>
      </c>
      <c r="M9" s="90">
        <f t="shared" si="0"/>
        <v>32747.3</v>
      </c>
      <c r="N9" s="68">
        <f t="shared" si="0"/>
        <v>6069.400000000001</v>
      </c>
      <c r="O9" s="68">
        <f t="shared" si="0"/>
        <v>567.4</v>
      </c>
      <c r="P9" s="68">
        <f t="shared" si="0"/>
        <v>5148.9</v>
      </c>
      <c r="Q9" s="68">
        <f t="shared" si="0"/>
        <v>3775.1000000000004</v>
      </c>
      <c r="R9" s="68">
        <f t="shared" si="0"/>
        <v>3611.6000000000004</v>
      </c>
      <c r="S9" s="68">
        <f t="shared" si="0"/>
        <v>7747.400000000001</v>
      </c>
      <c r="T9" s="68">
        <f t="shared" si="0"/>
        <v>19571.000000000004</v>
      </c>
      <c r="U9" s="68">
        <f t="shared" si="0"/>
        <v>40985.70000000001</v>
      </c>
      <c r="V9" s="68">
        <f t="shared" si="0"/>
        <v>15950.5</v>
      </c>
      <c r="W9" s="68">
        <f t="shared" si="0"/>
        <v>8093.08517</v>
      </c>
      <c r="X9" s="68">
        <f t="shared" si="0"/>
        <v>3285.9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204053.78517</v>
      </c>
      <c r="AG9" s="90">
        <f>AG10+AG15+AG24+AG33+AG47+AG52+AG54+AG61+AG62+AG71+AG72+AG76+AG88+AG81+AG83+AG82+AG69+AG89+AG91+AG90+AG70+AG40+AG92</f>
        <v>73688.91483000002</v>
      </c>
      <c r="AH9" s="41"/>
      <c r="AI9" s="41"/>
    </row>
    <row r="10" spans="1:35" ht="15.75">
      <c r="A10" s="4" t="s">
        <v>4</v>
      </c>
      <c r="B10" s="22">
        <f>18814.9-200+467.5</f>
        <v>19082.4</v>
      </c>
      <c r="C10" s="22">
        <v>3881.9000000000015</v>
      </c>
      <c r="D10" s="67">
        <v>407</v>
      </c>
      <c r="E10" s="67">
        <v>308.2</v>
      </c>
      <c r="F10" s="67">
        <v>42.8</v>
      </c>
      <c r="G10" s="67">
        <v>26.9</v>
      </c>
      <c r="H10" s="67">
        <v>55.8</v>
      </c>
      <c r="I10" s="67"/>
      <c r="J10" s="70">
        <v>18.9</v>
      </c>
      <c r="K10" s="67">
        <v>32</v>
      </c>
      <c r="L10" s="67">
        <v>2098.5</v>
      </c>
      <c r="M10" s="72">
        <v>2975.4</v>
      </c>
      <c r="N10" s="67">
        <v>1838.9</v>
      </c>
      <c r="O10" s="71">
        <v>53.4</v>
      </c>
      <c r="P10" s="67">
        <v>22.9</v>
      </c>
      <c r="Q10" s="67">
        <v>6.8</v>
      </c>
      <c r="R10" s="67">
        <v>6.4</v>
      </c>
      <c r="S10" s="72">
        <v>20.8</v>
      </c>
      <c r="T10" s="72">
        <v>958.9</v>
      </c>
      <c r="U10" s="72">
        <v>962.6</v>
      </c>
      <c r="V10" s="72">
        <v>6238.3</v>
      </c>
      <c r="W10" s="72">
        <v>2315.7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18390.2</v>
      </c>
      <c r="AG10" s="72">
        <f>B10+C10-AF10</f>
        <v>4574.100000000002</v>
      </c>
      <c r="AI10" s="6"/>
    </row>
    <row r="11" spans="1:35" ht="15.75">
      <c r="A11" s="3" t="s">
        <v>5</v>
      </c>
      <c r="B11" s="22">
        <f>17685.7-200+105+907.5</f>
        <v>18498.2</v>
      </c>
      <c r="C11" s="22">
        <v>2650.100000000006</v>
      </c>
      <c r="D11" s="67">
        <v>404.9</v>
      </c>
      <c r="E11" s="67">
        <v>294.9</v>
      </c>
      <c r="F11" s="67">
        <v>22.6</v>
      </c>
      <c r="G11" s="67"/>
      <c r="H11" s="67">
        <v>39.9</v>
      </c>
      <c r="I11" s="67"/>
      <c r="J11" s="72"/>
      <c r="K11" s="67">
        <v>14.8</v>
      </c>
      <c r="L11" s="67">
        <v>1918.5</v>
      </c>
      <c r="M11" s="72">
        <v>2969.5</v>
      </c>
      <c r="N11" s="67">
        <v>1796.3</v>
      </c>
      <c r="O11" s="71">
        <v>33.2</v>
      </c>
      <c r="P11" s="67"/>
      <c r="Q11" s="67"/>
      <c r="R11" s="67"/>
      <c r="S11" s="72"/>
      <c r="T11" s="72">
        <v>806</v>
      </c>
      <c r="U11" s="72">
        <v>952</v>
      </c>
      <c r="V11" s="72">
        <v>6219.1</v>
      </c>
      <c r="W11" s="72">
        <v>2233.7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17705.4</v>
      </c>
      <c r="AG11" s="72">
        <f>B11+C11-AF11</f>
        <v>3442.900000000005</v>
      </c>
      <c r="AI11" s="6"/>
    </row>
    <row r="12" spans="1:35" ht="15.75">
      <c r="A12" s="3" t="s">
        <v>2</v>
      </c>
      <c r="B12" s="29">
        <f>246.8-200</f>
        <v>46.80000000000001</v>
      </c>
      <c r="C12" s="22">
        <f>372.7-60</f>
        <v>312.7</v>
      </c>
      <c r="D12" s="67"/>
      <c r="E12" s="67"/>
      <c r="F12" s="67"/>
      <c r="G12" s="67"/>
      <c r="H12" s="67">
        <v>3.8</v>
      </c>
      <c r="I12" s="67"/>
      <c r="J12" s="72"/>
      <c r="K12" s="67"/>
      <c r="L12" s="67">
        <f>156.9</f>
        <v>156.9</v>
      </c>
      <c r="M12" s="72"/>
      <c r="N12" s="67">
        <v>5</v>
      </c>
      <c r="O12" s="71"/>
      <c r="P12" s="67"/>
      <c r="Q12" s="67">
        <v>2.6</v>
      </c>
      <c r="R12" s="67"/>
      <c r="S12" s="72"/>
      <c r="T12" s="72"/>
      <c r="U12" s="72">
        <f>1.8</f>
        <v>1.8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170.10000000000002</v>
      </c>
      <c r="AG12" s="72">
        <f>B12+C12-AF12</f>
        <v>189.39999999999998</v>
      </c>
      <c r="AI12" s="6"/>
    </row>
    <row r="13" spans="1:35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72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I13" s="6"/>
    </row>
    <row r="14" spans="1:35" ht="15.75">
      <c r="A14" s="3" t="s">
        <v>23</v>
      </c>
      <c r="B14" s="22">
        <f aca="true" t="shared" si="2" ref="B14:Y14">B10-B11-B12-B13</f>
        <v>537.4000000000008</v>
      </c>
      <c r="C14" s="22">
        <v>859.0999999999956</v>
      </c>
      <c r="D14" s="67">
        <f t="shared" si="2"/>
        <v>2.1000000000000227</v>
      </c>
      <c r="E14" s="67">
        <f t="shared" si="2"/>
        <v>13.300000000000011</v>
      </c>
      <c r="F14" s="67">
        <f t="shared" si="2"/>
        <v>20.199999999999996</v>
      </c>
      <c r="G14" s="67">
        <f t="shared" si="2"/>
        <v>26.9</v>
      </c>
      <c r="H14" s="67">
        <f t="shared" si="2"/>
        <v>12.099999999999998</v>
      </c>
      <c r="I14" s="67">
        <f t="shared" si="2"/>
        <v>0</v>
      </c>
      <c r="J14" s="67">
        <f t="shared" si="2"/>
        <v>18.9</v>
      </c>
      <c r="K14" s="67">
        <f t="shared" si="2"/>
        <v>17.2</v>
      </c>
      <c r="L14" s="67">
        <f t="shared" si="2"/>
        <v>23.099999999999994</v>
      </c>
      <c r="M14" s="72">
        <f t="shared" si="2"/>
        <v>5.900000000000091</v>
      </c>
      <c r="N14" s="67">
        <f t="shared" si="2"/>
        <v>37.600000000000136</v>
      </c>
      <c r="O14" s="67">
        <f t="shared" si="2"/>
        <v>20.199999999999996</v>
      </c>
      <c r="P14" s="67">
        <f t="shared" si="2"/>
        <v>22.9</v>
      </c>
      <c r="Q14" s="67">
        <f t="shared" si="2"/>
        <v>4.199999999999999</v>
      </c>
      <c r="R14" s="67">
        <f t="shared" si="2"/>
        <v>6.4</v>
      </c>
      <c r="S14" s="67">
        <f t="shared" si="2"/>
        <v>20.8</v>
      </c>
      <c r="T14" s="67">
        <f t="shared" si="2"/>
        <v>152.89999999999998</v>
      </c>
      <c r="U14" s="67">
        <f t="shared" si="2"/>
        <v>8.800000000000022</v>
      </c>
      <c r="V14" s="67">
        <f t="shared" si="2"/>
        <v>19.199999999999818</v>
      </c>
      <c r="W14" s="67">
        <f t="shared" si="2"/>
        <v>82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514.7</v>
      </c>
      <c r="AG14" s="72">
        <f>AG10-AG11-AG12-AG13</f>
        <v>941.7999999999971</v>
      </c>
      <c r="AI14" s="6"/>
    </row>
    <row r="15" spans="1:35" s="18" customFormat="1" ht="15" customHeight="1">
      <c r="A15" s="96" t="s">
        <v>6</v>
      </c>
      <c r="B15" s="97">
        <f>78673.8+7.6</f>
        <v>78681.40000000001</v>
      </c>
      <c r="C15" s="97">
        <v>29287.300000000003</v>
      </c>
      <c r="D15" s="100"/>
      <c r="E15" s="100">
        <v>629.5</v>
      </c>
      <c r="F15" s="72">
        <v>733.5</v>
      </c>
      <c r="G15" s="72">
        <v>255.6</v>
      </c>
      <c r="H15" s="72">
        <v>2756.8</v>
      </c>
      <c r="I15" s="72"/>
      <c r="J15" s="72">
        <f>628.6+8.7</f>
        <v>637.3000000000001</v>
      </c>
      <c r="K15" s="72">
        <v>2675.8</v>
      </c>
      <c r="L15" s="72">
        <v>1146.4</v>
      </c>
      <c r="M15" s="72">
        <f>15913.4+10597.9</f>
        <v>26511.3</v>
      </c>
      <c r="N15" s="72">
        <v>989.9</v>
      </c>
      <c r="O15" s="72">
        <v>15.5</v>
      </c>
      <c r="P15" s="72">
        <v>1558</v>
      </c>
      <c r="Q15" s="72">
        <v>1305.3</v>
      </c>
      <c r="R15" s="72">
        <v>494.8</v>
      </c>
      <c r="S15" s="72">
        <v>1064.4</v>
      </c>
      <c r="T15" s="72">
        <v>1049.8</v>
      </c>
      <c r="U15" s="72">
        <f>22080.9+12396.7</f>
        <v>34477.600000000006</v>
      </c>
      <c r="V15" s="72">
        <v>93</v>
      </c>
      <c r="W15" s="72">
        <v>16.1</v>
      </c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76410.60000000002</v>
      </c>
      <c r="AG15" s="72">
        <f aca="true" t="shared" si="3" ref="AG15:AG31">B15+C15-AF15</f>
        <v>31558.09999999999</v>
      </c>
      <c r="AI15" s="21"/>
    </row>
    <row r="16" spans="1:35" s="104" customFormat="1" ht="15" customHeight="1">
      <c r="A16" s="101" t="s">
        <v>38</v>
      </c>
      <c r="B16" s="102">
        <v>23019.6</v>
      </c>
      <c r="C16" s="102">
        <v>42.79999999999927</v>
      </c>
      <c r="D16" s="88"/>
      <c r="E16" s="88"/>
      <c r="F16" s="76"/>
      <c r="G16" s="76"/>
      <c r="H16" s="76"/>
      <c r="I16" s="76"/>
      <c r="J16" s="76">
        <v>8.7</v>
      </c>
      <c r="K16" s="76"/>
      <c r="L16" s="76"/>
      <c r="M16" s="76">
        <v>10597.9</v>
      </c>
      <c r="N16" s="76"/>
      <c r="O16" s="76"/>
      <c r="P16" s="76"/>
      <c r="Q16" s="76"/>
      <c r="R16" s="76"/>
      <c r="S16" s="76"/>
      <c r="T16" s="76"/>
      <c r="U16" s="76">
        <v>12396.8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88">
        <f t="shared" si="1"/>
        <v>23003.4</v>
      </c>
      <c r="AG16" s="88">
        <f t="shared" si="3"/>
        <v>58.99999999999636</v>
      </c>
      <c r="AH16" s="103"/>
      <c r="AI16" s="21"/>
    </row>
    <row r="17" spans="1:35" s="18" customFormat="1" ht="15.75">
      <c r="A17" s="98" t="s">
        <v>5</v>
      </c>
      <c r="B17" s="97">
        <v>61793.1</v>
      </c>
      <c r="C17" s="97">
        <v>2733.659999999996</v>
      </c>
      <c r="D17" s="72"/>
      <c r="E17" s="72">
        <v>5.3</v>
      </c>
      <c r="F17" s="72">
        <v>4.8</v>
      </c>
      <c r="G17" s="72"/>
      <c r="H17" s="72"/>
      <c r="I17" s="72"/>
      <c r="J17" s="72">
        <v>8.7</v>
      </c>
      <c r="K17" s="72"/>
      <c r="L17" s="72"/>
      <c r="M17" s="72">
        <f>13704.4+10597.9</f>
        <v>24302.3</v>
      </c>
      <c r="N17" s="72"/>
      <c r="O17" s="72"/>
      <c r="P17" s="72"/>
      <c r="Q17" s="72"/>
      <c r="R17" s="72"/>
      <c r="S17" s="72"/>
      <c r="T17" s="72"/>
      <c r="U17" s="72">
        <f>21312.8+12396.7</f>
        <v>33709.5</v>
      </c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58030.6</v>
      </c>
      <c r="AG17" s="72">
        <f t="shared" si="3"/>
        <v>6496.159999999996</v>
      </c>
      <c r="AH17" s="21"/>
      <c r="AI17" s="21"/>
    </row>
    <row r="18" spans="1:35" s="18" customFormat="1" ht="15.75">
      <c r="A18" s="98" t="s">
        <v>3</v>
      </c>
      <c r="B18" s="97"/>
      <c r="C18" s="97">
        <v>15.8</v>
      </c>
      <c r="D18" s="72"/>
      <c r="E18" s="72"/>
      <c r="F18" s="72"/>
      <c r="G18" s="72"/>
      <c r="H18" s="72">
        <v>0.3</v>
      </c>
      <c r="I18" s="72"/>
      <c r="J18" s="72">
        <v>0.4</v>
      </c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0.7</v>
      </c>
      <c r="AG18" s="72">
        <f t="shared" si="3"/>
        <v>15.100000000000001</v>
      </c>
      <c r="AI18" s="21"/>
    </row>
    <row r="19" spans="1:35" s="18" customFormat="1" ht="15.75">
      <c r="A19" s="98" t="s">
        <v>1</v>
      </c>
      <c r="B19" s="97">
        <v>5306.4</v>
      </c>
      <c r="C19" s="97">
        <v>2409.8999999999996</v>
      </c>
      <c r="D19" s="72"/>
      <c r="E19" s="72">
        <v>363.3</v>
      </c>
      <c r="F19" s="72">
        <v>73.4</v>
      </c>
      <c r="G19" s="72">
        <v>41.9</v>
      </c>
      <c r="H19" s="72">
        <v>403.7</v>
      </c>
      <c r="I19" s="72"/>
      <c r="J19" s="72">
        <v>10.1</v>
      </c>
      <c r="K19" s="72">
        <v>702.9</v>
      </c>
      <c r="L19" s="72">
        <v>518</v>
      </c>
      <c r="M19" s="72">
        <v>32.3</v>
      </c>
      <c r="N19" s="72">
        <v>798.8</v>
      </c>
      <c r="O19" s="72"/>
      <c r="P19" s="72">
        <v>479.5</v>
      </c>
      <c r="Q19" s="72">
        <v>841.8</v>
      </c>
      <c r="R19" s="72">
        <v>9.7</v>
      </c>
      <c r="S19" s="72">
        <v>390.5</v>
      </c>
      <c r="T19" s="72">
        <v>203.2</v>
      </c>
      <c r="U19" s="72">
        <v>283.8</v>
      </c>
      <c r="V19" s="72"/>
      <c r="W19" s="72">
        <v>14.8</v>
      </c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5167.700000000001</v>
      </c>
      <c r="AG19" s="72">
        <f t="shared" si="3"/>
        <v>2548.5999999999985</v>
      </c>
      <c r="AI19" s="21"/>
    </row>
    <row r="20" spans="1:35" s="18" customFormat="1" ht="15.75">
      <c r="A20" s="98" t="s">
        <v>2</v>
      </c>
      <c r="B20" s="97">
        <v>6956.5</v>
      </c>
      <c r="C20" s="97">
        <v>19342.3</v>
      </c>
      <c r="D20" s="72"/>
      <c r="E20" s="72">
        <v>65.1</v>
      </c>
      <c r="F20" s="72">
        <v>547.6</v>
      </c>
      <c r="G20" s="72">
        <v>206.2</v>
      </c>
      <c r="H20" s="72">
        <v>1957.7</v>
      </c>
      <c r="I20" s="72"/>
      <c r="J20" s="72">
        <v>517</v>
      </c>
      <c r="K20" s="72">
        <v>1972.2</v>
      </c>
      <c r="L20" s="72">
        <v>544.3</v>
      </c>
      <c r="M20" s="72">
        <v>1550.3</v>
      </c>
      <c r="N20" s="72">
        <v>130.4</v>
      </c>
      <c r="O20" s="72"/>
      <c r="P20" s="72">
        <v>1057.3</v>
      </c>
      <c r="Q20" s="72">
        <v>163.5</v>
      </c>
      <c r="R20" s="72">
        <v>114.1</v>
      </c>
      <c r="S20" s="72">
        <v>287.7</v>
      </c>
      <c r="T20" s="72">
        <v>262.4</v>
      </c>
      <c r="U20" s="72">
        <v>79.6</v>
      </c>
      <c r="V20" s="72">
        <v>2</v>
      </c>
      <c r="W20" s="72">
        <f>0.6+1.1</f>
        <v>1.7000000000000002</v>
      </c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9459.100000000002</v>
      </c>
      <c r="AG20" s="72">
        <f t="shared" si="3"/>
        <v>16839.699999999997</v>
      </c>
      <c r="AI20" s="21"/>
    </row>
    <row r="21" spans="1:35" s="18" customFormat="1" ht="15.75">
      <c r="A21" s="98" t="s">
        <v>16</v>
      </c>
      <c r="B21" s="97">
        <f>1151.3-2</f>
        <v>1149.3</v>
      </c>
      <c r="C21" s="97">
        <v>347.5</v>
      </c>
      <c r="D21" s="72"/>
      <c r="E21" s="72"/>
      <c r="F21" s="72"/>
      <c r="G21" s="72"/>
      <c r="H21" s="72"/>
      <c r="I21" s="72"/>
      <c r="J21" s="72"/>
      <c r="K21" s="72"/>
      <c r="L21" s="72"/>
      <c r="M21" s="72">
        <v>194.7</v>
      </c>
      <c r="N21" s="72"/>
      <c r="O21" s="72"/>
      <c r="P21" s="72"/>
      <c r="Q21" s="72"/>
      <c r="R21" s="72">
        <v>350.5</v>
      </c>
      <c r="S21" s="72"/>
      <c r="T21" s="72">
        <v>306</v>
      </c>
      <c r="U21" s="72">
        <v>128.9</v>
      </c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980.1</v>
      </c>
      <c r="AG21" s="72">
        <f t="shared" si="3"/>
        <v>516.6999999999999</v>
      </c>
      <c r="AI21" s="21"/>
    </row>
    <row r="22" spans="1:35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  <c r="AI22" s="21"/>
    </row>
    <row r="23" spans="1:35" s="18" customFormat="1" ht="15.75">
      <c r="A23" s="98" t="s">
        <v>23</v>
      </c>
      <c r="B23" s="97">
        <f>B15-B17-B18-B19-B20-B21-B22</f>
        <v>3476.1000000000104</v>
      </c>
      <c r="C23" s="97">
        <v>4652.540000000017</v>
      </c>
      <c r="D23" s="72">
        <f aca="true" t="shared" si="4" ref="D23:AD23">D15-D17-D18-D19-D20-D21-D22</f>
        <v>0</v>
      </c>
      <c r="E23" s="72">
        <f t="shared" si="4"/>
        <v>195.80000000000004</v>
      </c>
      <c r="F23" s="72">
        <f t="shared" si="4"/>
        <v>107.70000000000005</v>
      </c>
      <c r="G23" s="72">
        <f t="shared" si="4"/>
        <v>7.5</v>
      </c>
      <c r="H23" s="72">
        <f t="shared" si="4"/>
        <v>395.10000000000014</v>
      </c>
      <c r="I23" s="72">
        <f t="shared" si="4"/>
        <v>0</v>
      </c>
      <c r="J23" s="72">
        <f t="shared" si="4"/>
        <v>101.10000000000002</v>
      </c>
      <c r="K23" s="72">
        <f t="shared" si="4"/>
        <v>0.7000000000000455</v>
      </c>
      <c r="L23" s="72">
        <f t="shared" si="4"/>
        <v>84.10000000000014</v>
      </c>
      <c r="M23" s="72">
        <f t="shared" si="4"/>
        <v>431.6999999999999</v>
      </c>
      <c r="N23" s="72">
        <f t="shared" si="4"/>
        <v>60.70000000000002</v>
      </c>
      <c r="O23" s="72">
        <f t="shared" si="4"/>
        <v>15.5</v>
      </c>
      <c r="P23" s="72">
        <f t="shared" si="4"/>
        <v>21.200000000000045</v>
      </c>
      <c r="Q23" s="72">
        <f t="shared" si="4"/>
        <v>300</v>
      </c>
      <c r="R23" s="72">
        <f t="shared" si="4"/>
        <v>20.5</v>
      </c>
      <c r="S23" s="72">
        <f t="shared" si="4"/>
        <v>386.2000000000001</v>
      </c>
      <c r="T23" s="72">
        <f t="shared" si="4"/>
        <v>278.19999999999993</v>
      </c>
      <c r="U23" s="72">
        <f t="shared" si="4"/>
        <v>275.80000000000587</v>
      </c>
      <c r="V23" s="72">
        <f t="shared" si="4"/>
        <v>91</v>
      </c>
      <c r="W23" s="72">
        <f t="shared" si="4"/>
        <v>-0.39999999999999947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2772.4000000000065</v>
      </c>
      <c r="AG23" s="72">
        <f t="shared" si="3"/>
        <v>5356.240000000022</v>
      </c>
      <c r="AI23" s="21"/>
    </row>
    <row r="24" spans="1:35" s="18" customFormat="1" ht="15" customHeight="1">
      <c r="A24" s="96" t="s">
        <v>7</v>
      </c>
      <c r="B24" s="97">
        <v>43035.5</v>
      </c>
      <c r="C24" s="97">
        <v>11664.400000000009</v>
      </c>
      <c r="D24" s="72"/>
      <c r="E24" s="72">
        <f>112+0.7</f>
        <v>112.7</v>
      </c>
      <c r="F24" s="72">
        <v>344.2</v>
      </c>
      <c r="G24" s="72"/>
      <c r="H24" s="72">
        <v>2929.9</v>
      </c>
      <c r="I24" s="72"/>
      <c r="J24" s="72">
        <f>1165.4+743.9</f>
        <v>1909.3000000000002</v>
      </c>
      <c r="K24" s="72"/>
      <c r="L24" s="72">
        <f>679.4+7774.7</f>
        <v>8454.1</v>
      </c>
      <c r="M24" s="72">
        <v>2133.2</v>
      </c>
      <c r="N24" s="72">
        <f>898.2+803.2</f>
        <v>1701.4</v>
      </c>
      <c r="O24" s="72">
        <v>71.5</v>
      </c>
      <c r="P24" s="72">
        <v>33.9</v>
      </c>
      <c r="Q24" s="72"/>
      <c r="R24" s="72"/>
      <c r="S24" s="72">
        <f>3441.8+1127</f>
        <v>4568.8</v>
      </c>
      <c r="T24" s="72">
        <f>11820.4+4421.6</f>
        <v>16242</v>
      </c>
      <c r="U24" s="72">
        <v>307.4</v>
      </c>
      <c r="V24" s="72">
        <f>1843.4+2</f>
        <v>1845.4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40653.8</v>
      </c>
      <c r="AG24" s="72">
        <f t="shared" si="3"/>
        <v>14046.100000000006</v>
      </c>
      <c r="AI24" s="21"/>
    </row>
    <row r="25" spans="1:35" s="104" customFormat="1" ht="15" customHeight="1">
      <c r="A25" s="101" t="s">
        <v>39</v>
      </c>
      <c r="B25" s="102">
        <v>17138</v>
      </c>
      <c r="C25" s="102">
        <v>0</v>
      </c>
      <c r="D25" s="76"/>
      <c r="E25" s="76">
        <v>0.7</v>
      </c>
      <c r="F25" s="76"/>
      <c r="G25" s="76"/>
      <c r="H25" s="76"/>
      <c r="I25" s="76"/>
      <c r="J25" s="76">
        <v>743.9</v>
      </c>
      <c r="K25" s="76"/>
      <c r="L25" s="76">
        <v>7774.7</v>
      </c>
      <c r="M25" s="76">
        <v>2133.2</v>
      </c>
      <c r="N25" s="76">
        <v>803.2</v>
      </c>
      <c r="O25" s="76"/>
      <c r="P25" s="76">
        <v>33.9</v>
      </c>
      <c r="Q25" s="76"/>
      <c r="R25" s="76"/>
      <c r="S25" s="76">
        <v>1127</v>
      </c>
      <c r="T25" s="76">
        <v>4421.6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88">
        <f t="shared" si="1"/>
        <v>17038.2</v>
      </c>
      <c r="AG25" s="88">
        <f t="shared" si="3"/>
        <v>99.79999999999927</v>
      </c>
      <c r="AH25" s="103"/>
      <c r="AI25" s="21"/>
    </row>
    <row r="26" spans="1:35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  <c r="AI26" s="21"/>
    </row>
    <row r="27" spans="1:35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  <c r="AI27" s="21"/>
    </row>
    <row r="28" spans="1:35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  <c r="AI28" s="21"/>
    </row>
    <row r="29" spans="1:35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  <c r="AI29" s="21"/>
    </row>
    <row r="30" spans="1:35" s="18" customFormat="1" ht="15.75">
      <c r="A30" s="98" t="s">
        <v>16</v>
      </c>
      <c r="B30" s="97">
        <v>90.9</v>
      </c>
      <c r="C30" s="97">
        <v>181.7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>
        <v>199.3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199.3</v>
      </c>
      <c r="AG30" s="72">
        <f t="shared" si="3"/>
        <v>73.30000000000001</v>
      </c>
      <c r="AI30" s="21"/>
    </row>
    <row r="31" spans="1:35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  <c r="AI31" s="21"/>
    </row>
    <row r="32" spans="1:35" s="18" customFormat="1" ht="15.75">
      <c r="A32" s="98" t="s">
        <v>23</v>
      </c>
      <c r="B32" s="97">
        <f>B24-B30</f>
        <v>42944.6</v>
      </c>
      <c r="C32" s="97">
        <v>11482.700000000008</v>
      </c>
      <c r="D32" s="72">
        <f aca="true" t="shared" si="5" ref="D32:AD32">D24-D26-D27-D28-D29-D30-D31</f>
        <v>0</v>
      </c>
      <c r="E32" s="72">
        <f t="shared" si="5"/>
        <v>112.7</v>
      </c>
      <c r="F32" s="72">
        <f t="shared" si="5"/>
        <v>344.2</v>
      </c>
      <c r="G32" s="72">
        <f t="shared" si="5"/>
        <v>0</v>
      </c>
      <c r="H32" s="72">
        <f t="shared" si="5"/>
        <v>2929.9</v>
      </c>
      <c r="I32" s="72">
        <f t="shared" si="5"/>
        <v>0</v>
      </c>
      <c r="J32" s="72">
        <f t="shared" si="5"/>
        <v>1909.3000000000002</v>
      </c>
      <c r="K32" s="72">
        <f t="shared" si="5"/>
        <v>0</v>
      </c>
      <c r="L32" s="72">
        <f t="shared" si="5"/>
        <v>8454.1</v>
      </c>
      <c r="M32" s="72">
        <f t="shared" si="5"/>
        <v>2133.2</v>
      </c>
      <c r="N32" s="72">
        <f t="shared" si="5"/>
        <v>1701.4</v>
      </c>
      <c r="O32" s="72">
        <f t="shared" si="5"/>
        <v>71.5</v>
      </c>
      <c r="P32" s="72">
        <f t="shared" si="5"/>
        <v>33.9</v>
      </c>
      <c r="Q32" s="72">
        <f t="shared" si="5"/>
        <v>0</v>
      </c>
      <c r="R32" s="72">
        <f t="shared" si="5"/>
        <v>0</v>
      </c>
      <c r="S32" s="72">
        <f t="shared" si="5"/>
        <v>4369.5</v>
      </c>
      <c r="T32" s="72">
        <f t="shared" si="5"/>
        <v>16242</v>
      </c>
      <c r="U32" s="72">
        <f t="shared" si="5"/>
        <v>307.4</v>
      </c>
      <c r="V32" s="72">
        <f t="shared" si="5"/>
        <v>1845.4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40454.50000000001</v>
      </c>
      <c r="AG32" s="72">
        <f>AG24-AG30</f>
        <v>13972.800000000007</v>
      </c>
      <c r="AI32" s="21"/>
    </row>
    <row r="33" spans="1:35" s="18" customFormat="1" ht="15" customHeight="1">
      <c r="A33" s="96" t="s">
        <v>8</v>
      </c>
      <c r="B33" s="97">
        <v>438.5</v>
      </c>
      <c r="C33" s="97">
        <v>153.20000000000016</v>
      </c>
      <c r="D33" s="72"/>
      <c r="E33" s="72"/>
      <c r="F33" s="72"/>
      <c r="G33" s="72"/>
      <c r="H33" s="72"/>
      <c r="I33" s="72"/>
      <c r="J33" s="72">
        <v>30.8</v>
      </c>
      <c r="K33" s="72"/>
      <c r="L33" s="72">
        <v>60.6</v>
      </c>
      <c r="M33" s="72">
        <v>59.8</v>
      </c>
      <c r="N33" s="72">
        <v>0.5</v>
      </c>
      <c r="O33" s="72"/>
      <c r="P33" s="72"/>
      <c r="Q33" s="72"/>
      <c r="R33" s="72">
        <v>2.3</v>
      </c>
      <c r="S33" s="72"/>
      <c r="T33" s="72">
        <v>86.2</v>
      </c>
      <c r="U33" s="72">
        <f>133.9-1.9</f>
        <v>132</v>
      </c>
      <c r="V33" s="72">
        <f>48.6+0.1</f>
        <v>48.7</v>
      </c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420.9</v>
      </c>
      <c r="AG33" s="72">
        <f aca="true" t="shared" si="6" ref="AG33:AG38">B33+C33-AF33</f>
        <v>170.80000000000018</v>
      </c>
      <c r="AI33" s="21"/>
    </row>
    <row r="34" spans="1:35" s="18" customFormat="1" ht="15.75">
      <c r="A34" s="98" t="s">
        <v>5</v>
      </c>
      <c r="B34" s="97">
        <v>298</v>
      </c>
      <c r="C34" s="97">
        <v>24.69999999999999</v>
      </c>
      <c r="D34" s="72"/>
      <c r="E34" s="72"/>
      <c r="F34" s="72"/>
      <c r="G34" s="72"/>
      <c r="H34" s="72"/>
      <c r="I34" s="72"/>
      <c r="J34" s="72"/>
      <c r="K34" s="72"/>
      <c r="L34" s="72">
        <v>54.2</v>
      </c>
      <c r="M34" s="72">
        <v>59.8</v>
      </c>
      <c r="N34" s="72"/>
      <c r="O34" s="72"/>
      <c r="P34" s="72"/>
      <c r="Q34" s="72"/>
      <c r="R34" s="72"/>
      <c r="S34" s="72"/>
      <c r="T34" s="72">
        <v>86.2</v>
      </c>
      <c r="U34" s="72">
        <v>109.7</v>
      </c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309.9</v>
      </c>
      <c r="AG34" s="72">
        <f t="shared" si="6"/>
        <v>12.800000000000011</v>
      </c>
      <c r="AI34" s="21"/>
    </row>
    <row r="35" spans="1:35" s="18" customFormat="1" ht="15.75" hidden="1">
      <c r="A35" s="98" t="s">
        <v>1</v>
      </c>
      <c r="B35" s="97"/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  <c r="AI35" s="21"/>
    </row>
    <row r="36" spans="1:35" s="18" customFormat="1" ht="15.75">
      <c r="A36" s="98" t="s">
        <v>2</v>
      </c>
      <c r="B36" s="105">
        <v>48</v>
      </c>
      <c r="C36" s="97">
        <v>78.2</v>
      </c>
      <c r="D36" s="72"/>
      <c r="E36" s="72"/>
      <c r="F36" s="72"/>
      <c r="G36" s="72"/>
      <c r="H36" s="72"/>
      <c r="I36" s="72"/>
      <c r="J36" s="72">
        <v>30.8</v>
      </c>
      <c r="K36" s="72"/>
      <c r="L36" s="72"/>
      <c r="M36" s="72"/>
      <c r="N36" s="72">
        <v>0.2</v>
      </c>
      <c r="O36" s="72"/>
      <c r="P36" s="72"/>
      <c r="Q36" s="72"/>
      <c r="R36" s="72"/>
      <c r="S36" s="72"/>
      <c r="T36" s="72"/>
      <c r="U36" s="72">
        <v>16.8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47.8</v>
      </c>
      <c r="AG36" s="72">
        <f t="shared" si="6"/>
        <v>78.4</v>
      </c>
      <c r="AI36" s="21"/>
    </row>
    <row r="37" spans="1:35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  <c r="AI37" s="21"/>
    </row>
    <row r="38" spans="1:35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  <c r="AI38" s="21"/>
    </row>
    <row r="39" spans="1:35" s="18" customFormat="1" ht="15.75">
      <c r="A39" s="98" t="s">
        <v>23</v>
      </c>
      <c r="B39" s="97">
        <f aca="true" t="shared" si="7" ref="B39:AD39">B33-B34-B36-B38-B37-B35</f>
        <v>92.5</v>
      </c>
      <c r="C39" s="97">
        <v>50.30000000000017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6.399999999999999</v>
      </c>
      <c r="M39" s="72">
        <f t="shared" si="7"/>
        <v>0</v>
      </c>
      <c r="N39" s="72">
        <f t="shared" si="7"/>
        <v>0.3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2.3</v>
      </c>
      <c r="S39" s="72">
        <f t="shared" si="7"/>
        <v>0</v>
      </c>
      <c r="T39" s="72">
        <f t="shared" si="7"/>
        <v>0</v>
      </c>
      <c r="U39" s="72">
        <f t="shared" si="7"/>
        <v>5.4999999999999964</v>
      </c>
      <c r="V39" s="72">
        <f t="shared" si="7"/>
        <v>48.7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63.199999999999996</v>
      </c>
      <c r="AG39" s="72">
        <f>AG33-AG34-AG36-AG38-AG35-AG37</f>
        <v>79.60000000000016</v>
      </c>
      <c r="AI39" s="21"/>
    </row>
    <row r="40" spans="1:35" s="18" customFormat="1" ht="15" customHeight="1">
      <c r="A40" s="96" t="s">
        <v>29</v>
      </c>
      <c r="B40" s="97">
        <v>1509.7</v>
      </c>
      <c r="C40" s="97">
        <v>205.00000000000023</v>
      </c>
      <c r="D40" s="72"/>
      <c r="E40" s="72"/>
      <c r="F40" s="72"/>
      <c r="G40" s="72"/>
      <c r="H40" s="72">
        <v>61.4</v>
      </c>
      <c r="I40" s="72"/>
      <c r="J40" s="72">
        <v>2.9</v>
      </c>
      <c r="K40" s="72"/>
      <c r="L40" s="72">
        <v>439.9</v>
      </c>
      <c r="M40" s="72"/>
      <c r="N40" s="72"/>
      <c r="O40" s="72"/>
      <c r="P40" s="72">
        <v>0.3</v>
      </c>
      <c r="Q40" s="72"/>
      <c r="R40" s="72">
        <v>42</v>
      </c>
      <c r="S40" s="72"/>
      <c r="T40" s="72"/>
      <c r="U40" s="72">
        <v>847.8</v>
      </c>
      <c r="V40" s="72"/>
      <c r="W40" s="72">
        <v>8.3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1402.6</v>
      </c>
      <c r="AG40" s="72">
        <f aca="true" t="shared" si="8" ref="AG40:AG45">B40+C40-AF40</f>
        <v>312.10000000000036</v>
      </c>
      <c r="AI40" s="21"/>
    </row>
    <row r="41" spans="1:35" s="18" customFormat="1" ht="15.75">
      <c r="A41" s="98" t="s">
        <v>5</v>
      </c>
      <c r="B41" s="97">
        <v>1296.4</v>
      </c>
      <c r="C41" s="97">
        <v>101.19999999999982</v>
      </c>
      <c r="D41" s="72"/>
      <c r="E41" s="72"/>
      <c r="F41" s="72"/>
      <c r="G41" s="72"/>
      <c r="H41" s="72"/>
      <c r="I41" s="72"/>
      <c r="J41" s="72"/>
      <c r="K41" s="72"/>
      <c r="L41" s="72">
        <v>425</v>
      </c>
      <c r="M41" s="72"/>
      <c r="N41" s="72"/>
      <c r="O41" s="72"/>
      <c r="P41" s="72"/>
      <c r="Q41" s="72"/>
      <c r="R41" s="72"/>
      <c r="S41" s="72"/>
      <c r="T41" s="72"/>
      <c r="U41" s="72">
        <f>839.9+0.1</f>
        <v>840</v>
      </c>
      <c r="V41" s="72"/>
      <c r="W41" s="72">
        <v>7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1272</v>
      </c>
      <c r="AG41" s="72">
        <f t="shared" si="8"/>
        <v>125.59999999999991</v>
      </c>
      <c r="AH41" s="21"/>
      <c r="AI41" s="21"/>
    </row>
    <row r="42" spans="1:35" s="18" customFormat="1" ht="15.75">
      <c r="A42" s="98" t="s">
        <v>3</v>
      </c>
      <c r="B42" s="97"/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0.9</v>
      </c>
      <c r="AI42" s="21"/>
    </row>
    <row r="43" spans="1:35" s="18" customFormat="1" ht="15.75">
      <c r="A43" s="98" t="s">
        <v>1</v>
      </c>
      <c r="B43" s="97">
        <v>10.3</v>
      </c>
      <c r="C43" s="97">
        <v>2.3000000000000007</v>
      </c>
      <c r="D43" s="72"/>
      <c r="E43" s="72"/>
      <c r="F43" s="72"/>
      <c r="G43" s="72"/>
      <c r="H43" s="72">
        <v>10.1</v>
      </c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10.1</v>
      </c>
      <c r="AG43" s="72">
        <f t="shared" si="8"/>
        <v>2.5000000000000018</v>
      </c>
      <c r="AI43" s="21"/>
    </row>
    <row r="44" spans="1:35" s="18" customFormat="1" ht="15.75">
      <c r="A44" s="98" t="s">
        <v>2</v>
      </c>
      <c r="B44" s="97">
        <v>168.6</v>
      </c>
      <c r="C44" s="97">
        <v>92.10000000000005</v>
      </c>
      <c r="D44" s="72"/>
      <c r="E44" s="72"/>
      <c r="F44" s="72"/>
      <c r="G44" s="72"/>
      <c r="H44" s="72">
        <v>37.7</v>
      </c>
      <c r="I44" s="72"/>
      <c r="J44" s="72"/>
      <c r="K44" s="72"/>
      <c r="L44" s="72"/>
      <c r="M44" s="72"/>
      <c r="N44" s="72"/>
      <c r="O44" s="72"/>
      <c r="P44" s="72">
        <v>0.1</v>
      </c>
      <c r="Q44" s="72"/>
      <c r="R44" s="72">
        <v>42</v>
      </c>
      <c r="S44" s="72"/>
      <c r="T44" s="72"/>
      <c r="U44" s="72">
        <v>5.3</v>
      </c>
      <c r="V44" s="72"/>
      <c r="W44" s="72">
        <v>1.3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86.4</v>
      </c>
      <c r="AG44" s="72">
        <f t="shared" si="8"/>
        <v>174.30000000000004</v>
      </c>
      <c r="AI44" s="21"/>
    </row>
    <row r="45" spans="1:35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  <c r="AI45" s="21"/>
    </row>
    <row r="46" spans="1:35" s="18" customFormat="1" ht="15.75">
      <c r="A46" s="98" t="s">
        <v>23</v>
      </c>
      <c r="B46" s="97">
        <f aca="true" t="shared" si="9" ref="B46:AD46">B40-B41-B42-B43-B44-B45</f>
        <v>34.39999999999995</v>
      </c>
      <c r="C46" s="97">
        <v>8.500000000000355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13.599999999999994</v>
      </c>
      <c r="I46" s="72">
        <f t="shared" si="9"/>
        <v>0</v>
      </c>
      <c r="J46" s="72">
        <f t="shared" si="9"/>
        <v>2.9</v>
      </c>
      <c r="K46" s="72">
        <f t="shared" si="9"/>
        <v>0</v>
      </c>
      <c r="L46" s="72">
        <f t="shared" si="9"/>
        <v>14.899999999999977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0.19999999999999998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2.4999999999999547</v>
      </c>
      <c r="V46" s="72">
        <f t="shared" si="9"/>
        <v>0</v>
      </c>
      <c r="W46" s="72">
        <f t="shared" si="9"/>
        <v>6.661338147750939E-16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34.09999999999992</v>
      </c>
      <c r="AG46" s="72">
        <f>AG40-AG41-AG42-AG43-AG44-AG45</f>
        <v>8.80000000000041</v>
      </c>
      <c r="AI46" s="21"/>
    </row>
    <row r="47" spans="1:35" s="18" customFormat="1" ht="17.25" customHeight="1">
      <c r="A47" s="96" t="s">
        <v>43</v>
      </c>
      <c r="B47" s="99">
        <f>6591+15.1-20+7.6-100</f>
        <v>6493.700000000001</v>
      </c>
      <c r="C47" s="97">
        <v>2862.6000000000004</v>
      </c>
      <c r="D47" s="72"/>
      <c r="E47" s="80"/>
      <c r="F47" s="80">
        <v>244.7</v>
      </c>
      <c r="G47" s="80">
        <v>2133</v>
      </c>
      <c r="H47" s="80"/>
      <c r="I47" s="80"/>
      <c r="J47" s="80">
        <v>95.9</v>
      </c>
      <c r="K47" s="80">
        <v>222.1</v>
      </c>
      <c r="L47" s="80"/>
      <c r="M47" s="80"/>
      <c r="N47" s="80">
        <v>227.2</v>
      </c>
      <c r="O47" s="80"/>
      <c r="P47" s="80">
        <v>5.1</v>
      </c>
      <c r="Q47" s="80">
        <v>12.2</v>
      </c>
      <c r="R47" s="80">
        <v>1874.9</v>
      </c>
      <c r="S47" s="80">
        <v>12</v>
      </c>
      <c r="T47" s="80">
        <v>212.4</v>
      </c>
      <c r="U47" s="80">
        <v>688.5</v>
      </c>
      <c r="V47" s="80">
        <f>49.9-8.5</f>
        <v>41.4</v>
      </c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5769.399999999999</v>
      </c>
      <c r="AG47" s="72">
        <f>B47+C47-AF47</f>
        <v>3586.9000000000024</v>
      </c>
      <c r="AI47" s="21"/>
    </row>
    <row r="48" spans="1:35" s="18" customFormat="1" ht="15.75">
      <c r="A48" s="98" t="s">
        <v>5</v>
      </c>
      <c r="B48" s="97">
        <v>54.4</v>
      </c>
      <c r="C48" s="97">
        <v>54.4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>
        <v>0</v>
      </c>
      <c r="V48" s="80">
        <v>19.3</v>
      </c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19.3</v>
      </c>
      <c r="AG48" s="72">
        <f>B48+C48-AF48</f>
        <v>89.5</v>
      </c>
      <c r="AI48" s="21"/>
    </row>
    <row r="49" spans="1:35" s="18" customFormat="1" ht="15.75">
      <c r="A49" s="98" t="s">
        <v>16</v>
      </c>
      <c r="B49" s="97">
        <f>5882+15.1-20+7.6</f>
        <v>5884.700000000001</v>
      </c>
      <c r="C49" s="97">
        <v>1470.6000000000004</v>
      </c>
      <c r="D49" s="72"/>
      <c r="E49" s="72"/>
      <c r="F49" s="72">
        <v>244.7</v>
      </c>
      <c r="G49" s="72">
        <v>2133</v>
      </c>
      <c r="H49" s="72"/>
      <c r="I49" s="72"/>
      <c r="J49" s="72">
        <v>95.9</v>
      </c>
      <c r="K49" s="72">
        <v>222</v>
      </c>
      <c r="L49" s="72"/>
      <c r="M49" s="72"/>
      <c r="N49" s="72">
        <f>164.6+40.2</f>
        <v>204.8</v>
      </c>
      <c r="O49" s="72"/>
      <c r="P49" s="72">
        <v>5.1</v>
      </c>
      <c r="Q49" s="72"/>
      <c r="R49" s="72">
        <f>1874.9-19.1</f>
        <v>1855.8000000000002</v>
      </c>
      <c r="S49" s="72">
        <v>12</v>
      </c>
      <c r="T49" s="72">
        <v>212.4</v>
      </c>
      <c r="U49" s="72">
        <v>439.2</v>
      </c>
      <c r="V49" s="72">
        <f>30.6-8.5-2</f>
        <v>20.1</v>
      </c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5445</v>
      </c>
      <c r="AG49" s="72">
        <f>B49+C49-AF49</f>
        <v>1910.300000000001</v>
      </c>
      <c r="AI49" s="21"/>
    </row>
    <row r="50" spans="1:35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  <c r="AI50" s="21"/>
    </row>
    <row r="51" spans="1:35" s="18" customFormat="1" ht="15.75">
      <c r="A51" s="107" t="s">
        <v>23</v>
      </c>
      <c r="B51" s="97">
        <f aca="true" t="shared" si="10" ref="B51:AD51">B47-B48-B49</f>
        <v>554.6000000000004</v>
      </c>
      <c r="C51" s="97">
        <v>1337.6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0.09999999999999432</v>
      </c>
      <c r="L51" s="72">
        <f t="shared" si="10"/>
        <v>0</v>
      </c>
      <c r="M51" s="72">
        <f t="shared" si="10"/>
        <v>0</v>
      </c>
      <c r="N51" s="72">
        <f t="shared" si="10"/>
        <v>22.399999999999977</v>
      </c>
      <c r="O51" s="72">
        <f t="shared" si="10"/>
        <v>0</v>
      </c>
      <c r="P51" s="72">
        <f t="shared" si="10"/>
        <v>0</v>
      </c>
      <c r="Q51" s="72">
        <f t="shared" si="10"/>
        <v>12.2</v>
      </c>
      <c r="R51" s="72">
        <f t="shared" si="10"/>
        <v>19.09999999999991</v>
      </c>
      <c r="S51" s="72">
        <f t="shared" si="10"/>
        <v>0</v>
      </c>
      <c r="T51" s="72">
        <f t="shared" si="10"/>
        <v>0</v>
      </c>
      <c r="U51" s="72">
        <f t="shared" si="10"/>
        <v>249.3</v>
      </c>
      <c r="V51" s="72">
        <f t="shared" si="10"/>
        <v>1.9999999999999964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305.0999999999999</v>
      </c>
      <c r="AG51" s="72">
        <f>AG47-AG49-AG48</f>
        <v>1587.1000000000013</v>
      </c>
      <c r="AI51" s="21"/>
    </row>
    <row r="52" spans="1:35" s="18" customFormat="1" ht="15" customHeight="1">
      <c r="A52" s="96" t="s">
        <v>0</v>
      </c>
      <c r="B52" s="97">
        <f>14853.4-85.6+44.8-3000-2000</f>
        <v>9812.599999999999</v>
      </c>
      <c r="C52" s="97">
        <v>11149.999999999996</v>
      </c>
      <c r="D52" s="72"/>
      <c r="E52" s="72">
        <v>3.5</v>
      </c>
      <c r="F52" s="72">
        <v>157.9</v>
      </c>
      <c r="G52" s="72">
        <v>215.4</v>
      </c>
      <c r="H52" s="72">
        <v>10546.5</v>
      </c>
      <c r="I52" s="72"/>
      <c r="J52" s="72">
        <v>1149.5</v>
      </c>
      <c r="K52" s="72">
        <v>25.1</v>
      </c>
      <c r="L52" s="72"/>
      <c r="M52" s="72">
        <v>98.2</v>
      </c>
      <c r="N52" s="72">
        <v>543.6</v>
      </c>
      <c r="O52" s="72"/>
      <c r="P52" s="72"/>
      <c r="Q52" s="72">
        <v>176.7</v>
      </c>
      <c r="R52" s="72">
        <v>29.8</v>
      </c>
      <c r="S52" s="72">
        <v>75.6</v>
      </c>
      <c r="T52" s="72"/>
      <c r="U52" s="72">
        <v>1142.3</v>
      </c>
      <c r="V52" s="72">
        <v>18.4</v>
      </c>
      <c r="W52" s="72">
        <v>2564.5</v>
      </c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16747</v>
      </c>
      <c r="AG52" s="72">
        <f aca="true" t="shared" si="11" ref="AG52:AG59">B52+C52-AF52</f>
        <v>4215.599999999995</v>
      </c>
      <c r="AI52" s="21"/>
    </row>
    <row r="53" spans="1:35" s="18" customFormat="1" ht="15" customHeight="1">
      <c r="A53" s="98" t="s">
        <v>2</v>
      </c>
      <c r="B53" s="97">
        <f>2612.5-1000</f>
        <v>1612.5</v>
      </c>
      <c r="C53" s="97">
        <v>903.3999999999996</v>
      </c>
      <c r="D53" s="72"/>
      <c r="E53" s="72"/>
      <c r="F53" s="72"/>
      <c r="G53" s="72"/>
      <c r="H53" s="72">
        <v>0.7</v>
      </c>
      <c r="I53" s="72"/>
      <c r="J53" s="72">
        <v>1149.5</v>
      </c>
      <c r="K53" s="72"/>
      <c r="L53" s="72"/>
      <c r="M53" s="72"/>
      <c r="N53" s="72">
        <v>2.1</v>
      </c>
      <c r="O53" s="72"/>
      <c r="P53" s="72"/>
      <c r="Q53" s="72">
        <v>129.3</v>
      </c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1281.6</v>
      </c>
      <c r="AG53" s="72">
        <f t="shared" si="11"/>
        <v>1234.2999999999997</v>
      </c>
      <c r="AI53" s="21"/>
    </row>
    <row r="54" spans="1:35" s="18" customFormat="1" ht="15" customHeight="1">
      <c r="A54" s="96" t="s">
        <v>9</v>
      </c>
      <c r="B54" s="105">
        <f>2393.5-20-119.8</f>
        <v>2253.7</v>
      </c>
      <c r="C54" s="97">
        <v>843.7999999999993</v>
      </c>
      <c r="D54" s="72"/>
      <c r="E54" s="72"/>
      <c r="F54" s="72"/>
      <c r="G54" s="72">
        <v>185.8</v>
      </c>
      <c r="H54" s="72">
        <v>10</v>
      </c>
      <c r="I54" s="72"/>
      <c r="J54" s="72">
        <v>194.2</v>
      </c>
      <c r="K54" s="72"/>
      <c r="L54" s="72">
        <v>438.5</v>
      </c>
      <c r="M54" s="72">
        <v>103.2</v>
      </c>
      <c r="N54" s="72">
        <v>2.9</v>
      </c>
      <c r="O54" s="72"/>
      <c r="P54" s="72">
        <v>164.1</v>
      </c>
      <c r="Q54" s="72">
        <v>18.2</v>
      </c>
      <c r="R54" s="72">
        <v>9.3</v>
      </c>
      <c r="S54" s="72"/>
      <c r="T54" s="72">
        <v>153.4</v>
      </c>
      <c r="U54" s="72">
        <v>826.8</v>
      </c>
      <c r="V54" s="72">
        <v>25.7</v>
      </c>
      <c r="W54" s="72">
        <f>38.5+0.2</f>
        <v>38.7</v>
      </c>
      <c r="X54" s="72">
        <v>-19.8</v>
      </c>
      <c r="Y54" s="72"/>
      <c r="Z54" s="72"/>
      <c r="AA54" s="72"/>
      <c r="AB54" s="72"/>
      <c r="AC54" s="72"/>
      <c r="AD54" s="72"/>
      <c r="AE54" s="72"/>
      <c r="AF54" s="72">
        <f t="shared" si="1"/>
        <v>2150.9999999999995</v>
      </c>
      <c r="AG54" s="72">
        <f t="shared" si="11"/>
        <v>946.4999999999995</v>
      </c>
      <c r="AH54" s="21"/>
      <c r="AI54" s="21"/>
    </row>
    <row r="55" spans="1:35" s="18" customFormat="1" ht="15.75">
      <c r="A55" s="98" t="s">
        <v>5</v>
      </c>
      <c r="B55" s="97">
        <v>1199.2</v>
      </c>
      <c r="C55" s="97">
        <v>230.39999999999986</v>
      </c>
      <c r="D55" s="72"/>
      <c r="E55" s="72"/>
      <c r="F55" s="72"/>
      <c r="G55" s="72"/>
      <c r="H55" s="72"/>
      <c r="I55" s="72"/>
      <c r="J55" s="72"/>
      <c r="K55" s="72"/>
      <c r="L55" s="72">
        <v>384.9</v>
      </c>
      <c r="M55" s="72">
        <v>103.2</v>
      </c>
      <c r="N55" s="72"/>
      <c r="O55" s="72"/>
      <c r="P55" s="72">
        <v>27.1</v>
      </c>
      <c r="Q55" s="72"/>
      <c r="R55" s="72"/>
      <c r="S55" s="72"/>
      <c r="T55" s="72">
        <v>151.5</v>
      </c>
      <c r="U55" s="72">
        <v>461.6</v>
      </c>
      <c r="V55" s="72"/>
      <c r="W55" s="72">
        <f>16.4-0.5</f>
        <v>15.899999999999999</v>
      </c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1144.2</v>
      </c>
      <c r="AG55" s="72">
        <f t="shared" si="11"/>
        <v>285.39999999999986</v>
      </c>
      <c r="AH55" s="21"/>
      <c r="AI55" s="21"/>
    </row>
    <row r="56" spans="1:35" s="18" customFormat="1" ht="15" customHeight="1">
      <c r="A56" s="98" t="s">
        <v>1</v>
      </c>
      <c r="B56" s="97">
        <f>3+1.9</f>
        <v>4.9</v>
      </c>
      <c r="C56" s="97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>
        <v>3</v>
      </c>
      <c r="R56" s="72"/>
      <c r="S56" s="72"/>
      <c r="T56" s="72">
        <v>1.9</v>
      </c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4.9</v>
      </c>
      <c r="AG56" s="72">
        <f t="shared" si="11"/>
        <v>0</v>
      </c>
      <c r="AH56" s="21"/>
      <c r="AI56" s="21"/>
    </row>
    <row r="57" spans="1:35" s="18" customFormat="1" ht="15.75">
      <c r="A57" s="98" t="s">
        <v>2</v>
      </c>
      <c r="B57" s="99">
        <v>265.2</v>
      </c>
      <c r="C57" s="97">
        <v>406.1</v>
      </c>
      <c r="D57" s="72"/>
      <c r="E57" s="72"/>
      <c r="F57" s="72"/>
      <c r="G57" s="72"/>
      <c r="H57" s="72"/>
      <c r="I57" s="72"/>
      <c r="J57" s="72">
        <v>6.6</v>
      </c>
      <c r="K57" s="72"/>
      <c r="L57" s="72">
        <v>52.2</v>
      </c>
      <c r="M57" s="72"/>
      <c r="N57" s="72"/>
      <c r="O57" s="72"/>
      <c r="P57" s="72"/>
      <c r="Q57" s="72"/>
      <c r="R57" s="72"/>
      <c r="S57" s="72"/>
      <c r="T57" s="72"/>
      <c r="U57" s="72">
        <v>342.8</v>
      </c>
      <c r="V57" s="72">
        <f>0.4+3.3</f>
        <v>3.6999999999999997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405.3</v>
      </c>
      <c r="AG57" s="72">
        <f t="shared" si="11"/>
        <v>265.99999999999994</v>
      </c>
      <c r="AI57" s="21"/>
    </row>
    <row r="58" spans="1:35" s="18" customFormat="1" ht="15.75">
      <c r="A58" s="98" t="s">
        <v>16</v>
      </c>
      <c r="B58" s="99">
        <v>17</v>
      </c>
      <c r="C58" s="97">
        <v>8.699999999999996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0</v>
      </c>
      <c r="AG58" s="72">
        <f t="shared" si="11"/>
        <v>25.699999999999996</v>
      </c>
      <c r="AI58" s="21"/>
    </row>
    <row r="59" spans="1:35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  <c r="AI59" s="21"/>
    </row>
    <row r="60" spans="1:35" s="18" customFormat="1" ht="15.75">
      <c r="A60" s="98" t="s">
        <v>23</v>
      </c>
      <c r="B60" s="97">
        <f aca="true" t="shared" si="12" ref="B60:AD60">B54-B55-B57-B59-B56-B58</f>
        <v>767.3999999999997</v>
      </c>
      <c r="C60" s="97">
        <v>198.5999999999994</v>
      </c>
      <c r="D60" s="72">
        <f t="shared" si="12"/>
        <v>0</v>
      </c>
      <c r="E60" s="72">
        <f t="shared" si="12"/>
        <v>0</v>
      </c>
      <c r="F60" s="72">
        <f t="shared" si="12"/>
        <v>0</v>
      </c>
      <c r="G60" s="72">
        <f t="shared" si="12"/>
        <v>185.8</v>
      </c>
      <c r="H60" s="72">
        <f t="shared" si="12"/>
        <v>10</v>
      </c>
      <c r="I60" s="72">
        <f t="shared" si="12"/>
        <v>0</v>
      </c>
      <c r="J60" s="72">
        <f t="shared" si="12"/>
        <v>187.6</v>
      </c>
      <c r="K60" s="72">
        <f t="shared" si="12"/>
        <v>0</v>
      </c>
      <c r="L60" s="72">
        <f t="shared" si="12"/>
        <v>1.40000000000002</v>
      </c>
      <c r="M60" s="72">
        <f t="shared" si="12"/>
        <v>0</v>
      </c>
      <c r="N60" s="72">
        <f t="shared" si="12"/>
        <v>2.9</v>
      </c>
      <c r="O60" s="72">
        <f t="shared" si="12"/>
        <v>0</v>
      </c>
      <c r="P60" s="72">
        <f t="shared" si="12"/>
        <v>137</v>
      </c>
      <c r="Q60" s="72">
        <f t="shared" si="12"/>
        <v>15.2</v>
      </c>
      <c r="R60" s="72">
        <f t="shared" si="12"/>
        <v>9.3</v>
      </c>
      <c r="S60" s="72">
        <f t="shared" si="12"/>
        <v>0</v>
      </c>
      <c r="T60" s="72">
        <f t="shared" si="12"/>
        <v>5.773159728050814E-15</v>
      </c>
      <c r="U60" s="72">
        <f t="shared" si="12"/>
        <v>22.39999999999992</v>
      </c>
      <c r="V60" s="72">
        <f t="shared" si="12"/>
        <v>22</v>
      </c>
      <c r="W60" s="72">
        <f t="shared" si="12"/>
        <v>22.800000000000004</v>
      </c>
      <c r="X60" s="72">
        <f t="shared" si="12"/>
        <v>-19.8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596.5999999999996</v>
      </c>
      <c r="AG60" s="72">
        <f>AG54-AG55-AG57-AG59-AG56-AG58</f>
        <v>369.39999999999975</v>
      </c>
      <c r="AI60" s="21"/>
    </row>
    <row r="61" spans="1:35" s="18" customFormat="1" ht="15" customHeight="1">
      <c r="A61" s="96" t="s">
        <v>10</v>
      </c>
      <c r="B61" s="97">
        <v>92</v>
      </c>
      <c r="C61" s="97">
        <v>37.099999999999994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>
        <v>21</v>
      </c>
      <c r="O61" s="72"/>
      <c r="P61" s="72">
        <v>7.7</v>
      </c>
      <c r="Q61" s="72">
        <v>15.6</v>
      </c>
      <c r="R61" s="72"/>
      <c r="S61" s="72"/>
      <c r="T61" s="72">
        <v>10</v>
      </c>
      <c r="U61" s="72"/>
      <c r="V61" s="72">
        <v>15</v>
      </c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69.3</v>
      </c>
      <c r="AG61" s="72">
        <f aca="true" t="shared" si="14" ref="AG61:AG67">B61+C61-AF61</f>
        <v>59.8</v>
      </c>
      <c r="AI61" s="21"/>
    </row>
    <row r="62" spans="1:35" s="18" customFormat="1" ht="15" customHeight="1">
      <c r="A62" s="96" t="s">
        <v>11</v>
      </c>
      <c r="B62" s="97">
        <f>5806.6-33</f>
        <v>5773.6</v>
      </c>
      <c r="C62" s="97">
        <v>3509</v>
      </c>
      <c r="D62" s="72"/>
      <c r="E62" s="72"/>
      <c r="F62" s="72">
        <v>98.2</v>
      </c>
      <c r="G62" s="72"/>
      <c r="H62" s="72"/>
      <c r="I62" s="72"/>
      <c r="J62" s="72">
        <v>182.6</v>
      </c>
      <c r="K62" s="72">
        <v>0.5</v>
      </c>
      <c r="L62" s="72">
        <v>835.2</v>
      </c>
      <c r="M62" s="72">
        <v>180.6</v>
      </c>
      <c r="N62" s="72">
        <v>94</v>
      </c>
      <c r="O62" s="72"/>
      <c r="P62" s="72"/>
      <c r="Q62" s="72"/>
      <c r="R62" s="72">
        <v>438</v>
      </c>
      <c r="S62" s="72"/>
      <c r="T62" s="72">
        <v>427.3</v>
      </c>
      <c r="U62" s="72">
        <v>1076.3</v>
      </c>
      <c r="V62" s="72">
        <v>1039.4</v>
      </c>
      <c r="W62" s="72">
        <v>79.1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4451.200000000001</v>
      </c>
      <c r="AG62" s="72">
        <f t="shared" si="14"/>
        <v>4831.4</v>
      </c>
      <c r="AI62" s="21"/>
    </row>
    <row r="63" spans="1:35" s="18" customFormat="1" ht="15.75">
      <c r="A63" s="98" t="s">
        <v>5</v>
      </c>
      <c r="B63" s="97">
        <v>2436.6</v>
      </c>
      <c r="C63" s="97">
        <v>704.3000000000002</v>
      </c>
      <c r="D63" s="72"/>
      <c r="E63" s="72"/>
      <c r="F63" s="72"/>
      <c r="G63" s="72"/>
      <c r="H63" s="72"/>
      <c r="I63" s="72"/>
      <c r="J63" s="72"/>
      <c r="K63" s="72"/>
      <c r="L63" s="72">
        <v>835.2</v>
      </c>
      <c r="M63" s="72"/>
      <c r="N63" s="72"/>
      <c r="O63" s="72"/>
      <c r="P63" s="72"/>
      <c r="Q63" s="72"/>
      <c r="R63" s="72"/>
      <c r="S63" s="72"/>
      <c r="T63" s="72">
        <v>313.7</v>
      </c>
      <c r="U63" s="72">
        <v>945</v>
      </c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2093.9</v>
      </c>
      <c r="AG63" s="72">
        <f t="shared" si="14"/>
        <v>1047</v>
      </c>
      <c r="AH63" s="114"/>
      <c r="AI63" s="21"/>
    </row>
    <row r="64" spans="1:35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  <c r="AI64" s="21"/>
    </row>
    <row r="65" spans="1:35" s="18" customFormat="1" ht="15.75">
      <c r="A65" s="98" t="s">
        <v>1</v>
      </c>
      <c r="B65" s="97">
        <v>539.2</v>
      </c>
      <c r="C65" s="97">
        <v>496.9000000000001</v>
      </c>
      <c r="D65" s="72"/>
      <c r="E65" s="72"/>
      <c r="F65" s="72"/>
      <c r="G65" s="72"/>
      <c r="H65" s="72"/>
      <c r="I65" s="72"/>
      <c r="J65" s="72">
        <v>105</v>
      </c>
      <c r="K65" s="72"/>
      <c r="L65" s="72"/>
      <c r="M65" s="72"/>
      <c r="N65" s="72"/>
      <c r="O65" s="72"/>
      <c r="P65" s="72"/>
      <c r="Q65" s="72"/>
      <c r="R65" s="72">
        <v>116.2</v>
      </c>
      <c r="S65" s="72"/>
      <c r="T65" s="72"/>
      <c r="U65" s="72"/>
      <c r="V65" s="72">
        <v>245</v>
      </c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466.2</v>
      </c>
      <c r="AG65" s="72">
        <f t="shared" si="14"/>
        <v>569.9000000000001</v>
      </c>
      <c r="AH65" s="21"/>
      <c r="AI65" s="21"/>
    </row>
    <row r="66" spans="1:35" s="18" customFormat="1" ht="15.75">
      <c r="A66" s="98" t="s">
        <v>2</v>
      </c>
      <c r="B66" s="97">
        <v>149.3</v>
      </c>
      <c r="C66" s="97">
        <v>114.80000000000007</v>
      </c>
      <c r="D66" s="72"/>
      <c r="E66" s="72"/>
      <c r="F66" s="72"/>
      <c r="G66" s="72"/>
      <c r="H66" s="72"/>
      <c r="I66" s="72"/>
      <c r="J66" s="72">
        <v>8.8</v>
      </c>
      <c r="K66" s="72">
        <v>0.5</v>
      </c>
      <c r="L66" s="72"/>
      <c r="M66" s="72"/>
      <c r="N66" s="72">
        <v>18.5</v>
      </c>
      <c r="O66" s="72"/>
      <c r="P66" s="72"/>
      <c r="Q66" s="72"/>
      <c r="R66" s="72">
        <v>22.5</v>
      </c>
      <c r="S66" s="72"/>
      <c r="T66" s="72">
        <v>0.1</v>
      </c>
      <c r="U66" s="72"/>
      <c r="V66" s="72">
        <v>5.1</v>
      </c>
      <c r="W66" s="72">
        <v>69.1</v>
      </c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124.6</v>
      </c>
      <c r="AG66" s="72">
        <f t="shared" si="14"/>
        <v>139.50000000000009</v>
      </c>
      <c r="AI66" s="21"/>
    </row>
    <row r="67" spans="1:35" s="18" customFormat="1" ht="15.75">
      <c r="A67" s="98" t="s">
        <v>16</v>
      </c>
      <c r="B67" s="97">
        <v>550</v>
      </c>
      <c r="C67" s="97">
        <v>437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>
        <v>245</v>
      </c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245</v>
      </c>
      <c r="AG67" s="72">
        <f t="shared" si="14"/>
        <v>742</v>
      </c>
      <c r="AI67" s="21"/>
    </row>
    <row r="68" spans="1:35" s="18" customFormat="1" ht="15.75">
      <c r="A68" s="98" t="s">
        <v>23</v>
      </c>
      <c r="B68" s="97">
        <f aca="true" t="shared" si="15" ref="B68:AD68">B62-B63-B66-B67-B65-B64</f>
        <v>2098.5</v>
      </c>
      <c r="C68" s="97">
        <v>1755.9999999999995</v>
      </c>
      <c r="D68" s="72">
        <f t="shared" si="15"/>
        <v>0</v>
      </c>
      <c r="E68" s="72">
        <f t="shared" si="15"/>
        <v>0</v>
      </c>
      <c r="F68" s="72">
        <f t="shared" si="15"/>
        <v>98.2</v>
      </c>
      <c r="G68" s="72">
        <f t="shared" si="15"/>
        <v>0</v>
      </c>
      <c r="H68" s="72">
        <f t="shared" si="15"/>
        <v>0</v>
      </c>
      <c r="I68" s="72">
        <f t="shared" si="15"/>
        <v>0</v>
      </c>
      <c r="J68" s="72">
        <f t="shared" si="15"/>
        <v>68.79999999999998</v>
      </c>
      <c r="K68" s="72">
        <f t="shared" si="15"/>
        <v>0</v>
      </c>
      <c r="L68" s="72">
        <f t="shared" si="15"/>
        <v>0</v>
      </c>
      <c r="M68" s="72">
        <f t="shared" si="15"/>
        <v>180.6</v>
      </c>
      <c r="N68" s="72">
        <f t="shared" si="15"/>
        <v>75.5</v>
      </c>
      <c r="O68" s="72">
        <f t="shared" si="15"/>
        <v>0</v>
      </c>
      <c r="P68" s="72">
        <f t="shared" si="15"/>
        <v>0</v>
      </c>
      <c r="Q68" s="72">
        <f t="shared" si="15"/>
        <v>0</v>
      </c>
      <c r="R68" s="72">
        <f t="shared" si="15"/>
        <v>54.3</v>
      </c>
      <c r="S68" s="72">
        <f t="shared" si="15"/>
        <v>0</v>
      </c>
      <c r="T68" s="72">
        <f t="shared" si="15"/>
        <v>113.50000000000003</v>
      </c>
      <c r="U68" s="72">
        <f t="shared" si="15"/>
        <v>131.29999999999995</v>
      </c>
      <c r="V68" s="72">
        <f t="shared" si="15"/>
        <v>789.3000000000002</v>
      </c>
      <c r="W68" s="72">
        <f t="shared" si="15"/>
        <v>10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1521.5000000000002</v>
      </c>
      <c r="AG68" s="72">
        <f>AG62-AG63-AG66-AG67-AG65-AG64</f>
        <v>2332.9999999999995</v>
      </c>
      <c r="AI68" s="21"/>
    </row>
    <row r="69" spans="1:35" s="18" customFormat="1" ht="31.5">
      <c r="A69" s="96" t="s">
        <v>45</v>
      </c>
      <c r="B69" s="97">
        <v>2336.1</v>
      </c>
      <c r="C69" s="97">
        <v>329.20000000000005</v>
      </c>
      <c r="D69" s="72"/>
      <c r="E69" s="72"/>
      <c r="F69" s="72"/>
      <c r="G69" s="72">
        <v>994.8</v>
      </c>
      <c r="H69" s="72"/>
      <c r="I69" s="72"/>
      <c r="J69" s="72"/>
      <c r="K69" s="72"/>
      <c r="L69" s="72"/>
      <c r="M69" s="72"/>
      <c r="N69" s="72"/>
      <c r="O69" s="72"/>
      <c r="P69" s="72"/>
      <c r="Q69" s="72">
        <f>887.7</f>
        <v>887.7</v>
      </c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>
        <f t="shared" si="13"/>
        <v>1882.5</v>
      </c>
      <c r="AG69" s="89">
        <f aca="true" t="shared" si="16" ref="AG69:AG92">B69+C69-AF69</f>
        <v>782.8000000000002</v>
      </c>
      <c r="AI69" s="21"/>
    </row>
    <row r="70" spans="1:35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>
        <f t="shared" si="13"/>
        <v>0</v>
      </c>
      <c r="AG70" s="89">
        <f t="shared" si="16"/>
        <v>0</v>
      </c>
      <c r="AI70" s="21"/>
    </row>
    <row r="71" spans="1:50" s="18" customFormat="1" ht="31.5">
      <c r="A71" s="96" t="s">
        <v>46</v>
      </c>
      <c r="B71" s="97">
        <f>85.6+2125</f>
        <v>2210.6</v>
      </c>
      <c r="C71" s="109">
        <v>450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>
        <v>430.7</v>
      </c>
      <c r="V71" s="80">
        <v>600.4</v>
      </c>
      <c r="W71" s="80"/>
      <c r="X71" s="80"/>
      <c r="Y71" s="80"/>
      <c r="Z71" s="80"/>
      <c r="AA71" s="80"/>
      <c r="AB71" s="80"/>
      <c r="AC71" s="80"/>
      <c r="AD71" s="80"/>
      <c r="AE71" s="80"/>
      <c r="AF71" s="72">
        <f t="shared" si="13"/>
        <v>1031.1</v>
      </c>
      <c r="AG71" s="89">
        <f t="shared" si="16"/>
        <v>1629.5</v>
      </c>
      <c r="AH71" s="110"/>
      <c r="AI71" s="21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</row>
    <row r="72" spans="1:35" s="18" customFormat="1" ht="15" customHeight="1">
      <c r="A72" s="96" t="s">
        <v>47</v>
      </c>
      <c r="B72" s="105">
        <f>1918.5-22.7-7.6-100-50-97.7</f>
        <v>1640.5</v>
      </c>
      <c r="C72" s="97">
        <v>2213.2999999999997</v>
      </c>
      <c r="D72" s="72"/>
      <c r="E72" s="72">
        <v>209.6</v>
      </c>
      <c r="F72" s="72">
        <v>97</v>
      </c>
      <c r="G72" s="72">
        <v>18.7</v>
      </c>
      <c r="H72" s="72"/>
      <c r="I72" s="72"/>
      <c r="J72" s="72">
        <v>14.1</v>
      </c>
      <c r="K72" s="72">
        <v>18.1</v>
      </c>
      <c r="L72" s="72">
        <v>187.2</v>
      </c>
      <c r="M72" s="72">
        <v>14.7</v>
      </c>
      <c r="N72" s="72">
        <v>217.2</v>
      </c>
      <c r="O72" s="72">
        <v>174</v>
      </c>
      <c r="P72" s="72">
        <v>148.3</v>
      </c>
      <c r="Q72" s="72">
        <v>12.3</v>
      </c>
      <c r="R72" s="72">
        <v>23.4</v>
      </c>
      <c r="S72" s="72">
        <v>8.2</v>
      </c>
      <c r="T72" s="72">
        <v>431</v>
      </c>
      <c r="U72" s="72">
        <v>93.7</v>
      </c>
      <c r="V72" s="72">
        <v>8.8</v>
      </c>
      <c r="W72" s="72">
        <v>82</v>
      </c>
      <c r="X72" s="72"/>
      <c r="Y72" s="72"/>
      <c r="Z72" s="72"/>
      <c r="AA72" s="72"/>
      <c r="AB72" s="72"/>
      <c r="AC72" s="72"/>
      <c r="AD72" s="72"/>
      <c r="AE72" s="72"/>
      <c r="AF72" s="72">
        <f t="shared" si="13"/>
        <v>1758.3000000000002</v>
      </c>
      <c r="AG72" s="89">
        <f t="shared" si="16"/>
        <v>2095.4999999999995</v>
      </c>
      <c r="AI72" s="21"/>
    </row>
    <row r="73" spans="1:35" s="18" customFormat="1" ht="15" customHeight="1">
      <c r="A73" s="98" t="s">
        <v>5</v>
      </c>
      <c r="B73" s="97">
        <v>80.5</v>
      </c>
      <c r="C73" s="97">
        <v>0.09999999999999432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>
        <v>0.1</v>
      </c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>
        <f t="shared" si="13"/>
        <v>80.6</v>
      </c>
      <c r="AG73" s="89">
        <f t="shared" si="16"/>
        <v>0</v>
      </c>
      <c r="AI73" s="21"/>
    </row>
    <row r="74" spans="1:35" s="18" customFormat="1" ht="15" customHeight="1">
      <c r="A74" s="98" t="s">
        <v>2</v>
      </c>
      <c r="B74" s="97">
        <f>41+308.4+0.1</f>
        <v>349.5</v>
      </c>
      <c r="C74" s="97">
        <v>332.5999999999999</v>
      </c>
      <c r="D74" s="72"/>
      <c r="E74" s="72">
        <v>6.2</v>
      </c>
      <c r="F74" s="72">
        <v>38.5</v>
      </c>
      <c r="G74" s="72"/>
      <c r="H74" s="72"/>
      <c r="I74" s="72"/>
      <c r="J74" s="72"/>
      <c r="K74" s="72"/>
      <c r="L74" s="72">
        <f>59+95</f>
        <v>154</v>
      </c>
      <c r="M74" s="72">
        <v>14.7</v>
      </c>
      <c r="N74" s="72">
        <f>0.7+0.2</f>
        <v>0.8999999999999999</v>
      </c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>
        <f t="shared" si="13"/>
        <v>214.29999999999998</v>
      </c>
      <c r="AG74" s="89">
        <f t="shared" si="16"/>
        <v>467.79999999999995</v>
      </c>
      <c r="AI74" s="21"/>
    </row>
    <row r="75" spans="1:35" s="18" customFormat="1" ht="15" customHeight="1">
      <c r="A75" s="98" t="s">
        <v>16</v>
      </c>
      <c r="B75" s="97">
        <f>11.6+10+23.4</f>
        <v>45</v>
      </c>
      <c r="C75" s="97">
        <v>17.8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>
        <v>23.3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>
        <f t="shared" si="13"/>
        <v>23.3</v>
      </c>
      <c r="AG75" s="89">
        <f t="shared" si="16"/>
        <v>39.5</v>
      </c>
      <c r="AI75" s="21"/>
    </row>
    <row r="76" spans="1:35" s="112" customFormat="1" ht="15.75">
      <c r="A76" s="111" t="s">
        <v>48</v>
      </c>
      <c r="B76" s="97">
        <f>185.5</f>
        <v>185.5</v>
      </c>
      <c r="C76" s="97">
        <v>30.599999999999994</v>
      </c>
      <c r="D76" s="72"/>
      <c r="E76" s="80"/>
      <c r="F76" s="80"/>
      <c r="G76" s="80">
        <v>13.9</v>
      </c>
      <c r="H76" s="80"/>
      <c r="I76" s="80"/>
      <c r="J76" s="80"/>
      <c r="K76" s="80"/>
      <c r="L76" s="80"/>
      <c r="M76" s="80">
        <v>60.1</v>
      </c>
      <c r="N76" s="80"/>
      <c r="O76" s="80"/>
      <c r="P76" s="80"/>
      <c r="Q76" s="80"/>
      <c r="R76" s="80"/>
      <c r="S76" s="80"/>
      <c r="T76" s="80"/>
      <c r="U76" s="80"/>
      <c r="V76" s="80">
        <v>109.3</v>
      </c>
      <c r="W76" s="80"/>
      <c r="X76" s="80"/>
      <c r="Y76" s="80"/>
      <c r="Z76" s="80"/>
      <c r="AA76" s="80"/>
      <c r="AB76" s="80"/>
      <c r="AC76" s="80"/>
      <c r="AD76" s="80"/>
      <c r="AE76" s="80"/>
      <c r="AF76" s="72">
        <f t="shared" si="13"/>
        <v>183.3</v>
      </c>
      <c r="AG76" s="89">
        <f t="shared" si="16"/>
        <v>32.79999999999998</v>
      </c>
      <c r="AI76" s="21"/>
    </row>
    <row r="77" spans="1:35" s="112" customFormat="1" ht="15.75">
      <c r="A77" s="98" t="s">
        <v>5</v>
      </c>
      <c r="B77" s="97">
        <v>132.5</v>
      </c>
      <c r="C77" s="97">
        <v>3.8000000000000114</v>
      </c>
      <c r="D77" s="72"/>
      <c r="E77" s="80"/>
      <c r="F77" s="80"/>
      <c r="G77" s="80">
        <v>5.6</v>
      </c>
      <c r="H77" s="80"/>
      <c r="I77" s="80"/>
      <c r="J77" s="80"/>
      <c r="K77" s="80"/>
      <c r="L77" s="80"/>
      <c r="M77" s="80">
        <v>57.6</v>
      </c>
      <c r="N77" s="80"/>
      <c r="O77" s="80"/>
      <c r="P77" s="80"/>
      <c r="Q77" s="80"/>
      <c r="R77" s="80"/>
      <c r="S77" s="80"/>
      <c r="T77" s="80"/>
      <c r="U77" s="80"/>
      <c r="V77" s="80">
        <f>68.8-2.2</f>
        <v>66.6</v>
      </c>
      <c r="W77" s="80"/>
      <c r="X77" s="80"/>
      <c r="Y77" s="80"/>
      <c r="Z77" s="80"/>
      <c r="AA77" s="80"/>
      <c r="AB77" s="80"/>
      <c r="AC77" s="80"/>
      <c r="AD77" s="80"/>
      <c r="AE77" s="80"/>
      <c r="AF77" s="72">
        <f t="shared" si="13"/>
        <v>129.8</v>
      </c>
      <c r="AG77" s="89">
        <f t="shared" si="16"/>
        <v>6.5</v>
      </c>
      <c r="AI77" s="21"/>
    </row>
    <row r="78" spans="1:35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72">
        <f t="shared" si="13"/>
        <v>0</v>
      </c>
      <c r="AG78" s="89">
        <f t="shared" si="16"/>
        <v>0</v>
      </c>
      <c r="AI78" s="21"/>
    </row>
    <row r="79" spans="1:35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72">
        <f t="shared" si="13"/>
        <v>0</v>
      </c>
      <c r="AG79" s="89">
        <f t="shared" si="16"/>
        <v>0</v>
      </c>
      <c r="AI79" s="21"/>
    </row>
    <row r="80" spans="1:35" s="112" customFormat="1" ht="15.75">
      <c r="A80" s="98" t="s">
        <v>2</v>
      </c>
      <c r="B80" s="97">
        <v>2.1</v>
      </c>
      <c r="C80" s="97">
        <v>8.500000000000002</v>
      </c>
      <c r="D80" s="72"/>
      <c r="E80" s="80"/>
      <c r="F80" s="80"/>
      <c r="G80" s="80">
        <v>6</v>
      </c>
      <c r="H80" s="80"/>
      <c r="I80" s="80"/>
      <c r="J80" s="80"/>
      <c r="K80" s="80"/>
      <c r="L80" s="80"/>
      <c r="M80" s="80">
        <v>0.1</v>
      </c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72">
        <f t="shared" si="13"/>
        <v>6.1</v>
      </c>
      <c r="AG80" s="89">
        <f t="shared" si="16"/>
        <v>4.500000000000002</v>
      </c>
      <c r="AI80" s="21"/>
    </row>
    <row r="81" spans="1:35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72">
        <f t="shared" si="13"/>
        <v>0</v>
      </c>
      <c r="AG81" s="89">
        <f t="shared" si="16"/>
        <v>0</v>
      </c>
      <c r="AI81" s="21"/>
    </row>
    <row r="82" spans="1:35" s="11" customFormat="1" ht="15.75" hidden="1">
      <c r="A82" s="12" t="s">
        <v>41</v>
      </c>
      <c r="B82" s="22"/>
      <c r="C82" s="24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80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9">
        <f t="shared" si="16"/>
        <v>0</v>
      </c>
      <c r="AI82" s="6"/>
    </row>
    <row r="83" spans="1:35" s="11" customFormat="1" ht="15.75" hidden="1">
      <c r="A83" s="12" t="s">
        <v>40</v>
      </c>
      <c r="B83" s="24"/>
      <c r="C83" s="24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80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I83" s="6"/>
    </row>
    <row r="84" spans="1:35" s="11" customFormat="1" ht="15.75" hidden="1">
      <c r="A84" s="25" t="s">
        <v>21</v>
      </c>
      <c r="B84" s="22"/>
      <c r="C84" s="24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80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I84" s="6"/>
    </row>
    <row r="85" spans="1:35" s="11" customFormat="1" ht="15.75" hidden="1">
      <c r="A85" s="25" t="s">
        <v>22</v>
      </c>
      <c r="B85" s="22"/>
      <c r="C85" s="24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80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I85" s="6"/>
    </row>
    <row r="86" spans="1:35" s="11" customFormat="1" ht="31.5" hidden="1">
      <c r="A86" s="25" t="s">
        <v>24</v>
      </c>
      <c r="B86" s="22"/>
      <c r="C86" s="24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80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I86" s="6"/>
    </row>
    <row r="87" spans="1:35" s="11" customFormat="1" ht="31.5" hidden="1">
      <c r="A87" s="25" t="s">
        <v>28</v>
      </c>
      <c r="B87" s="22"/>
      <c r="C87" s="24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80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I87" s="6"/>
    </row>
    <row r="88" spans="1:35" ht="15.75">
      <c r="A88" s="4" t="s">
        <v>58</v>
      </c>
      <c r="B88" s="22">
        <v>563</v>
      </c>
      <c r="C88" s="2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72"/>
      <c r="N88" s="67"/>
      <c r="O88" s="67"/>
      <c r="P88" s="67"/>
      <c r="Q88" s="67">
        <v>563</v>
      </c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563</v>
      </c>
      <c r="AG88" s="72">
        <f t="shared" si="16"/>
        <v>0</v>
      </c>
      <c r="AH88" s="11"/>
      <c r="AI88" s="6"/>
    </row>
    <row r="89" spans="1:35" s="18" customFormat="1" ht="15.75">
      <c r="A89" s="96" t="s">
        <v>50</v>
      </c>
      <c r="B89" s="97">
        <f>17339.2+3000-1991</f>
        <v>18348.2</v>
      </c>
      <c r="C89" s="97">
        <v>2162.000000000001</v>
      </c>
      <c r="D89" s="72"/>
      <c r="E89" s="72">
        <v>60.3</v>
      </c>
      <c r="F89" s="72"/>
      <c r="G89" s="72">
        <v>794.6</v>
      </c>
      <c r="H89" s="72">
        <v>1729.3</v>
      </c>
      <c r="I89" s="72"/>
      <c r="J89" s="72"/>
      <c r="K89" s="72">
        <v>2357</v>
      </c>
      <c r="L89" s="72">
        <v>1916.4</v>
      </c>
      <c r="M89" s="72">
        <v>610.8</v>
      </c>
      <c r="N89" s="72">
        <v>432.8</v>
      </c>
      <c r="O89" s="72"/>
      <c r="P89" s="72"/>
      <c r="Q89" s="72">
        <v>777.3</v>
      </c>
      <c r="R89" s="72">
        <v>690.7</v>
      </c>
      <c r="S89" s="72">
        <v>110.8</v>
      </c>
      <c r="T89" s="72"/>
      <c r="U89" s="72"/>
      <c r="V89" s="72">
        <v>5866.7</v>
      </c>
      <c r="W89" s="72">
        <f>417-0.4</f>
        <v>416.6</v>
      </c>
      <c r="X89" s="72"/>
      <c r="Y89" s="72"/>
      <c r="Z89" s="72"/>
      <c r="AA89" s="72"/>
      <c r="AB89" s="72"/>
      <c r="AC89" s="72"/>
      <c r="AD89" s="72"/>
      <c r="AE89" s="72"/>
      <c r="AF89" s="72">
        <f t="shared" si="13"/>
        <v>15763.300000000001</v>
      </c>
      <c r="AG89" s="72">
        <f t="shared" si="16"/>
        <v>4746.9</v>
      </c>
      <c r="AH89" s="112"/>
      <c r="AI89" s="21"/>
    </row>
    <row r="90" spans="1:35" ht="15.75">
      <c r="A90" s="4" t="s">
        <v>51</v>
      </c>
      <c r="B90" s="22">
        <v>5660.4</v>
      </c>
      <c r="C90" s="22">
        <v>0</v>
      </c>
      <c r="D90" s="67"/>
      <c r="E90" s="67"/>
      <c r="F90" s="67"/>
      <c r="G90" s="67"/>
      <c r="H90" s="67"/>
      <c r="I90" s="67"/>
      <c r="J90" s="67"/>
      <c r="K90" s="67"/>
      <c r="L90" s="67">
        <v>1886.8</v>
      </c>
      <c r="M90" s="72"/>
      <c r="N90" s="67"/>
      <c r="O90" s="67"/>
      <c r="P90" s="67"/>
      <c r="Q90" s="67"/>
      <c r="R90" s="67"/>
      <c r="S90" s="72">
        <v>1886.8</v>
      </c>
      <c r="T90" s="72"/>
      <c r="U90" s="67"/>
      <c r="V90" s="67"/>
      <c r="W90" s="67"/>
      <c r="X90" s="72">
        <v>1886.8</v>
      </c>
      <c r="Y90" s="72"/>
      <c r="Z90" s="72"/>
      <c r="AA90" s="72"/>
      <c r="AB90" s="67"/>
      <c r="AC90" s="67"/>
      <c r="AD90" s="67"/>
      <c r="AE90" s="67"/>
      <c r="AF90" s="71">
        <f t="shared" si="13"/>
        <v>5660.4</v>
      </c>
      <c r="AG90" s="72">
        <f t="shared" si="16"/>
        <v>0</v>
      </c>
      <c r="AH90" s="11"/>
      <c r="AI90" s="6"/>
    </row>
    <row r="91" spans="1:35" ht="15.75">
      <c r="A91" s="4" t="s">
        <v>25</v>
      </c>
      <c r="B91" s="22">
        <f>833.3-3233.3</f>
        <v>-2400</v>
      </c>
      <c r="C91" s="22">
        <v>2500</v>
      </c>
      <c r="D91" s="67"/>
      <c r="E91" s="67"/>
      <c r="F91" s="67"/>
      <c r="G91" s="67"/>
      <c r="H91" s="67"/>
      <c r="I91" s="67"/>
      <c r="J91" s="67"/>
      <c r="K91" s="67"/>
      <c r="L91" s="67"/>
      <c r="M91" s="72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100</v>
      </c>
      <c r="AH91" s="11"/>
      <c r="AI91" s="6"/>
    </row>
    <row r="92" spans="1:34" ht="15.75">
      <c r="A92" s="4" t="s">
        <v>37</v>
      </c>
      <c r="B92" s="22">
        <f>-1649+253+3208.6+2000+1991</f>
        <v>5803.6</v>
      </c>
      <c r="C92" s="22">
        <v>4942.299999999996</v>
      </c>
      <c r="D92" s="67">
        <v>3293.3</v>
      </c>
      <c r="E92" s="67"/>
      <c r="F92" s="67"/>
      <c r="G92" s="67"/>
      <c r="H92" s="67">
        <v>-2161.9</v>
      </c>
      <c r="I92" s="67"/>
      <c r="J92" s="67">
        <v>2161.9</v>
      </c>
      <c r="K92" s="67"/>
      <c r="L92" s="67"/>
      <c r="M92" s="72"/>
      <c r="N92" s="67"/>
      <c r="O92" s="67">
        <v>253</v>
      </c>
      <c r="P92" s="67">
        <v>3208.6</v>
      </c>
      <c r="Q92" s="67"/>
      <c r="R92" s="67"/>
      <c r="S92" s="72"/>
      <c r="T92" s="72"/>
      <c r="U92" s="67"/>
      <c r="V92" s="67"/>
      <c r="W92" s="67">
        <v>2572.08517</v>
      </c>
      <c r="X92" s="72">
        <f>1407.2+11.7</f>
        <v>1418.9</v>
      </c>
      <c r="Y92" s="72"/>
      <c r="Z92" s="72"/>
      <c r="AA92" s="72"/>
      <c r="AB92" s="67"/>
      <c r="AC92" s="67"/>
      <c r="AD92" s="67"/>
      <c r="AE92" s="67"/>
      <c r="AF92" s="71">
        <f t="shared" si="13"/>
        <v>10745.88517</v>
      </c>
      <c r="AG92" s="72">
        <f t="shared" si="16"/>
        <v>0.014829999996436527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72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201521.0000000001</v>
      </c>
      <c r="C94" s="35">
        <f t="shared" si="17"/>
        <v>76221.70000000001</v>
      </c>
      <c r="D94" s="82">
        <f t="shared" si="17"/>
        <v>3700.3</v>
      </c>
      <c r="E94" s="82">
        <f t="shared" si="17"/>
        <v>1323.8</v>
      </c>
      <c r="F94" s="82">
        <f t="shared" si="17"/>
        <v>1718.3000000000002</v>
      </c>
      <c r="G94" s="82">
        <f t="shared" si="17"/>
        <v>4638.7</v>
      </c>
      <c r="H94" s="82">
        <f t="shared" si="17"/>
        <v>15927.800000000001</v>
      </c>
      <c r="I94" s="82">
        <f t="shared" si="17"/>
        <v>0</v>
      </c>
      <c r="J94" s="82">
        <f t="shared" si="17"/>
        <v>6397.4</v>
      </c>
      <c r="K94" s="82">
        <f t="shared" si="17"/>
        <v>5330.6</v>
      </c>
      <c r="L94" s="82">
        <f t="shared" si="17"/>
        <v>17463.600000000002</v>
      </c>
      <c r="M94" s="91">
        <f t="shared" si="17"/>
        <v>32747.3</v>
      </c>
      <c r="N94" s="82">
        <f t="shared" si="17"/>
        <v>6069.400000000001</v>
      </c>
      <c r="O94" s="82">
        <f t="shared" si="17"/>
        <v>567.4</v>
      </c>
      <c r="P94" s="82">
        <f t="shared" si="17"/>
        <v>5148.9</v>
      </c>
      <c r="Q94" s="82">
        <f t="shared" si="17"/>
        <v>3775.1000000000004</v>
      </c>
      <c r="R94" s="82">
        <f t="shared" si="17"/>
        <v>3611.6000000000004</v>
      </c>
      <c r="S94" s="82">
        <f t="shared" si="17"/>
        <v>7747.400000000001</v>
      </c>
      <c r="T94" s="82">
        <f t="shared" si="17"/>
        <v>19571.000000000004</v>
      </c>
      <c r="U94" s="82">
        <f t="shared" si="17"/>
        <v>40985.70000000001</v>
      </c>
      <c r="V94" s="82">
        <f t="shared" si="17"/>
        <v>15950.5</v>
      </c>
      <c r="W94" s="82">
        <f t="shared" si="17"/>
        <v>8093.08517</v>
      </c>
      <c r="X94" s="82">
        <f t="shared" si="17"/>
        <v>3285.9</v>
      </c>
      <c r="Y94" s="82">
        <f t="shared" si="17"/>
        <v>0</v>
      </c>
      <c r="Z94" s="82">
        <f>Z10+Z15+Z24+Z33+Z47+Z52+Z54+Z61+Z62+Z69+Z71+Z72+Z76+Z81+Z82+Z83+Z88+Z89+Z90+Z91+Z40</f>
        <v>0</v>
      </c>
      <c r="AA94" s="82">
        <f>AA10+AA15+AA24+AA33+AA47+AA52+AA54+AA61+AA62+AA69+AA71+AA72+AA76+AA81+AA82+AA83+AA88+AA89+AA90+AA91+AA40</f>
        <v>0</v>
      </c>
      <c r="AB94" s="82">
        <f>AB10+AB15+AB24+AB33+AB47+AB52+AB54+AB61+AB62+AB69+AB71+AB72+AB76+AB81+AB82+AB83+AB88+AB89+AB90+AB91+AB40</f>
        <v>0</v>
      </c>
      <c r="AC94" s="82">
        <f>AC10+AC15+AC24+AC33+AC47+AC52+AC54+AC61+AC62+AC69+AC71+AC72+AC76+AC81+AC82+AC83+AC88+AC89+AC90+AC91+AC40</f>
        <v>0</v>
      </c>
      <c r="AD94" s="82">
        <f>AD10+AD15+AD24+AD33+AD47+AD52+AD54+AD61+AD62+AD69+AD71+AD72+AD76+AD81+AD82+AD83+AD88+AD89+AD90+AD91+AD40</f>
        <v>0</v>
      </c>
      <c r="AE94" s="82"/>
      <c r="AF94" s="82">
        <f>AF10+AF15+AF24+AF33+AF47+AF52+AF54+AF61+AF62+AF69+AF71+AF72+AF76+AF81+AF82+AF83+AF88+AF89+AF90+AF91+AF70+AF40+AF92</f>
        <v>204053.78517</v>
      </c>
      <c r="AG94" s="83">
        <f>AG10+AG15+AG24+AG33+AG47+AG52+AG54+AG61+AG62+AG69+AG71+AG72+AG76+AG81+AG82+AG83+AG88+AG89+AG90+AG91+AG70+AG40+AG92</f>
        <v>73688.91483000001</v>
      </c>
    </row>
    <row r="95" spans="1:33" ht="15.75">
      <c r="A95" s="3" t="s">
        <v>5</v>
      </c>
      <c r="B95" s="22">
        <f aca="true" t="shared" si="18" ref="B95:AD95">B11+B17+B26+B34+B55+B63+B73+B41+B77+B48</f>
        <v>85788.9</v>
      </c>
      <c r="C95" s="22">
        <f t="shared" si="18"/>
        <v>6502.660000000002</v>
      </c>
      <c r="D95" s="67">
        <f t="shared" si="18"/>
        <v>404.9</v>
      </c>
      <c r="E95" s="67">
        <f t="shared" si="18"/>
        <v>300.2</v>
      </c>
      <c r="F95" s="67">
        <f t="shared" si="18"/>
        <v>27.400000000000002</v>
      </c>
      <c r="G95" s="67">
        <f t="shared" si="18"/>
        <v>5.6</v>
      </c>
      <c r="H95" s="67">
        <f t="shared" si="18"/>
        <v>39.9</v>
      </c>
      <c r="I95" s="67">
        <f t="shared" si="18"/>
        <v>0</v>
      </c>
      <c r="J95" s="67">
        <f t="shared" si="18"/>
        <v>8.7</v>
      </c>
      <c r="K95" s="67">
        <f t="shared" si="18"/>
        <v>14.8</v>
      </c>
      <c r="L95" s="67">
        <f t="shared" si="18"/>
        <v>3617.8</v>
      </c>
      <c r="M95" s="72">
        <f t="shared" si="18"/>
        <v>27492.399999999998</v>
      </c>
      <c r="N95" s="67">
        <f t="shared" si="18"/>
        <v>1796.3</v>
      </c>
      <c r="O95" s="67">
        <f t="shared" si="18"/>
        <v>33.2</v>
      </c>
      <c r="P95" s="67">
        <f t="shared" si="18"/>
        <v>27.1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1357.4</v>
      </c>
      <c r="U95" s="67">
        <f t="shared" si="18"/>
        <v>37017.799999999996</v>
      </c>
      <c r="V95" s="67">
        <f>V11+V17+V26+V34+V55+V63+V73+V41+V77+V48</f>
        <v>6305.100000000001</v>
      </c>
      <c r="W95" s="67">
        <f t="shared" si="18"/>
        <v>2337.1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80785.70000000001</v>
      </c>
      <c r="AG95" s="71">
        <f>B95+C95-AF95</f>
        <v>11505.859999999986</v>
      </c>
    </row>
    <row r="96" spans="1:33" ht="15.75">
      <c r="A96" s="3" t="s">
        <v>2</v>
      </c>
      <c r="B96" s="22">
        <f aca="true" t="shared" si="19" ref="B96:AD96">B12+B20+B29+B36+B57+B66+B44+B80+B74+B53</f>
        <v>9598.5</v>
      </c>
      <c r="C96" s="22">
        <f t="shared" si="19"/>
        <v>21590.699999999997</v>
      </c>
      <c r="D96" s="67">
        <f t="shared" si="19"/>
        <v>0</v>
      </c>
      <c r="E96" s="67">
        <f t="shared" si="19"/>
        <v>71.3</v>
      </c>
      <c r="F96" s="67">
        <f t="shared" si="19"/>
        <v>586.1</v>
      </c>
      <c r="G96" s="67">
        <f t="shared" si="19"/>
        <v>212.2</v>
      </c>
      <c r="H96" s="67">
        <f t="shared" si="19"/>
        <v>1999.9</v>
      </c>
      <c r="I96" s="67">
        <f t="shared" si="19"/>
        <v>0</v>
      </c>
      <c r="J96" s="67">
        <f t="shared" si="19"/>
        <v>1712.6999999999998</v>
      </c>
      <c r="K96" s="67">
        <f t="shared" si="19"/>
        <v>1972.7</v>
      </c>
      <c r="L96" s="67">
        <f t="shared" si="19"/>
        <v>907.4</v>
      </c>
      <c r="M96" s="72">
        <f t="shared" si="19"/>
        <v>1565.1</v>
      </c>
      <c r="N96" s="67">
        <f t="shared" si="19"/>
        <v>157.1</v>
      </c>
      <c r="O96" s="67">
        <f t="shared" si="19"/>
        <v>0</v>
      </c>
      <c r="P96" s="67">
        <f t="shared" si="19"/>
        <v>1057.3999999999999</v>
      </c>
      <c r="Q96" s="67">
        <f t="shared" si="19"/>
        <v>295.4</v>
      </c>
      <c r="R96" s="67">
        <f t="shared" si="19"/>
        <v>178.6</v>
      </c>
      <c r="S96" s="67">
        <f t="shared" si="19"/>
        <v>287.7</v>
      </c>
      <c r="T96" s="67">
        <f t="shared" si="19"/>
        <v>262.5</v>
      </c>
      <c r="U96" s="67">
        <f t="shared" si="19"/>
        <v>446.3</v>
      </c>
      <c r="V96" s="67">
        <f t="shared" si="19"/>
        <v>10.799999999999999</v>
      </c>
      <c r="W96" s="67">
        <f t="shared" si="19"/>
        <v>72.1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11795.3</v>
      </c>
      <c r="AG96" s="71">
        <f>B96+C96-AF96</f>
        <v>19393.899999999998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16.7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0.3</v>
      </c>
      <c r="I97" s="67">
        <f t="shared" si="20"/>
        <v>0</v>
      </c>
      <c r="J97" s="67">
        <f t="shared" si="20"/>
        <v>0.4</v>
      </c>
      <c r="K97" s="67">
        <f t="shared" si="20"/>
        <v>0</v>
      </c>
      <c r="L97" s="67">
        <f t="shared" si="20"/>
        <v>0</v>
      </c>
      <c r="M97" s="72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16</v>
      </c>
    </row>
    <row r="98" spans="1:33" ht="15.75">
      <c r="A98" s="3" t="s">
        <v>1</v>
      </c>
      <c r="B98" s="22">
        <f aca="true" t="shared" si="21" ref="B98:AD98">B19+B28+B65+B35+B43+B56+B79</f>
        <v>5860.799999999999</v>
      </c>
      <c r="C98" s="22">
        <f t="shared" si="21"/>
        <v>2909.1</v>
      </c>
      <c r="D98" s="67">
        <f t="shared" si="21"/>
        <v>0</v>
      </c>
      <c r="E98" s="67">
        <f t="shared" si="21"/>
        <v>363.3</v>
      </c>
      <c r="F98" s="67">
        <f t="shared" si="21"/>
        <v>73.4</v>
      </c>
      <c r="G98" s="67">
        <f t="shared" si="21"/>
        <v>41.9</v>
      </c>
      <c r="H98" s="67">
        <f t="shared" si="21"/>
        <v>413.8</v>
      </c>
      <c r="I98" s="67">
        <f t="shared" si="21"/>
        <v>0</v>
      </c>
      <c r="J98" s="67">
        <f t="shared" si="21"/>
        <v>115.1</v>
      </c>
      <c r="K98" s="67">
        <f t="shared" si="21"/>
        <v>702.9</v>
      </c>
      <c r="L98" s="67">
        <f t="shared" si="21"/>
        <v>518</v>
      </c>
      <c r="M98" s="72">
        <f t="shared" si="21"/>
        <v>32.3</v>
      </c>
      <c r="N98" s="67">
        <f t="shared" si="21"/>
        <v>798.8</v>
      </c>
      <c r="O98" s="67">
        <f t="shared" si="21"/>
        <v>0</v>
      </c>
      <c r="P98" s="67">
        <f t="shared" si="21"/>
        <v>479.5</v>
      </c>
      <c r="Q98" s="67">
        <f t="shared" si="21"/>
        <v>844.8</v>
      </c>
      <c r="R98" s="67">
        <f t="shared" si="21"/>
        <v>125.9</v>
      </c>
      <c r="S98" s="67">
        <f t="shared" si="21"/>
        <v>390.5</v>
      </c>
      <c r="T98" s="67">
        <f t="shared" si="21"/>
        <v>205.1</v>
      </c>
      <c r="U98" s="67">
        <f t="shared" si="21"/>
        <v>283.8</v>
      </c>
      <c r="V98" s="67">
        <f t="shared" si="21"/>
        <v>245</v>
      </c>
      <c r="W98" s="67">
        <f t="shared" si="21"/>
        <v>14.8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5648.900000000001</v>
      </c>
      <c r="AG98" s="71">
        <f>B98+C98-AF98</f>
        <v>3120.999999999999</v>
      </c>
    </row>
    <row r="99" spans="1:33" ht="15.75">
      <c r="A99" s="3" t="s">
        <v>16</v>
      </c>
      <c r="B99" s="22">
        <f>B21+B30+B49+B37+B58+B13+B75+B67</f>
        <v>7736.900000000001</v>
      </c>
      <c r="C99" s="22">
        <f aca="true" t="shared" si="22" ref="C99:X99">C21+C30+C49+C37+C58+C13+C75+C67</f>
        <v>2463.3</v>
      </c>
      <c r="D99" s="67">
        <f t="shared" si="22"/>
        <v>0</v>
      </c>
      <c r="E99" s="67">
        <f t="shared" si="22"/>
        <v>0</v>
      </c>
      <c r="F99" s="67">
        <f t="shared" si="22"/>
        <v>244.7</v>
      </c>
      <c r="G99" s="67">
        <f t="shared" si="22"/>
        <v>2133</v>
      </c>
      <c r="H99" s="67">
        <f t="shared" si="22"/>
        <v>0</v>
      </c>
      <c r="I99" s="67">
        <f t="shared" si="22"/>
        <v>0</v>
      </c>
      <c r="J99" s="67">
        <f t="shared" si="22"/>
        <v>95.9</v>
      </c>
      <c r="K99" s="67">
        <f t="shared" si="22"/>
        <v>222</v>
      </c>
      <c r="L99" s="67">
        <f t="shared" si="22"/>
        <v>0</v>
      </c>
      <c r="M99" s="72">
        <f t="shared" si="22"/>
        <v>194.7</v>
      </c>
      <c r="N99" s="67">
        <f t="shared" si="22"/>
        <v>204.8</v>
      </c>
      <c r="O99" s="67">
        <f t="shared" si="22"/>
        <v>0</v>
      </c>
      <c r="P99" s="67">
        <f t="shared" si="22"/>
        <v>5.1</v>
      </c>
      <c r="Q99" s="67">
        <f t="shared" si="22"/>
        <v>0</v>
      </c>
      <c r="R99" s="67">
        <f t="shared" si="22"/>
        <v>2474.6000000000004</v>
      </c>
      <c r="S99" s="67">
        <f t="shared" si="22"/>
        <v>211.3</v>
      </c>
      <c r="T99" s="67">
        <f t="shared" si="22"/>
        <v>518.4</v>
      </c>
      <c r="U99" s="67">
        <f t="shared" si="22"/>
        <v>568.1</v>
      </c>
      <c r="V99" s="67">
        <f t="shared" si="22"/>
        <v>20.1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6892.700000000001</v>
      </c>
      <c r="AG99" s="71">
        <f>B99+C99-AF99</f>
        <v>3307.5</v>
      </c>
    </row>
    <row r="100" spans="1:33" ht="12.75">
      <c r="A100" s="1" t="s">
        <v>35</v>
      </c>
      <c r="B100" s="2">
        <f aca="true" t="shared" si="24" ref="B100:AD100">B94-B95-B96-B97-B98-B99</f>
        <v>92535.9000000001</v>
      </c>
      <c r="C100" s="2">
        <f t="shared" si="24"/>
        <v>42739.24000000001</v>
      </c>
      <c r="D100" s="84">
        <f t="shared" si="24"/>
        <v>3295.4</v>
      </c>
      <c r="E100" s="84">
        <f t="shared" si="24"/>
        <v>589</v>
      </c>
      <c r="F100" s="84">
        <f t="shared" si="24"/>
        <v>786.7</v>
      </c>
      <c r="G100" s="84">
        <f t="shared" si="24"/>
        <v>2246</v>
      </c>
      <c r="H100" s="84">
        <f t="shared" si="24"/>
        <v>13473.900000000003</v>
      </c>
      <c r="I100" s="84">
        <f t="shared" si="24"/>
        <v>0</v>
      </c>
      <c r="J100" s="84">
        <f t="shared" si="24"/>
        <v>4464.6</v>
      </c>
      <c r="K100" s="84">
        <f t="shared" si="24"/>
        <v>2418.2000000000003</v>
      </c>
      <c r="L100" s="84">
        <f t="shared" si="24"/>
        <v>12420.400000000003</v>
      </c>
      <c r="M100" s="92">
        <f t="shared" si="24"/>
        <v>3462.8000000000015</v>
      </c>
      <c r="N100" s="84">
        <f t="shared" si="24"/>
        <v>3112.3999999999996</v>
      </c>
      <c r="O100" s="84">
        <f t="shared" si="24"/>
        <v>534.1999999999999</v>
      </c>
      <c r="P100" s="84">
        <f t="shared" si="24"/>
        <v>3579.7999999999997</v>
      </c>
      <c r="Q100" s="84">
        <f t="shared" si="24"/>
        <v>2634.9000000000005</v>
      </c>
      <c r="R100" s="84">
        <f t="shared" si="24"/>
        <v>832.5</v>
      </c>
      <c r="S100" s="84">
        <f t="shared" si="24"/>
        <v>6857.900000000001</v>
      </c>
      <c r="T100" s="84">
        <f t="shared" si="24"/>
        <v>17227.600000000002</v>
      </c>
      <c r="U100" s="84">
        <f t="shared" si="24"/>
        <v>2669.7000000000157</v>
      </c>
      <c r="V100" s="84">
        <f t="shared" si="24"/>
        <v>9369.499999999998</v>
      </c>
      <c r="W100" s="84">
        <f t="shared" si="24"/>
        <v>5669.085169999999</v>
      </c>
      <c r="X100" s="84">
        <f t="shared" si="24"/>
        <v>3285.9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/>
      <c r="AF100" s="84">
        <f>AF94-AF95-AF96-AF97-AF98-AF99</f>
        <v>98930.48516999999</v>
      </c>
      <c r="AG100" s="84">
        <f>AG94-AG95-AG96-AG97-AG98-AG99</f>
        <v>36344.65483000003</v>
      </c>
    </row>
    <row r="101" spans="1:33" s="32" customFormat="1" ht="15.75">
      <c r="A101" s="30"/>
      <c r="B101" s="31"/>
      <c r="C101" s="31"/>
      <c r="M101" s="9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94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9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0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0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21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21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21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21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21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21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21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21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21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21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21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21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21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21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21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21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21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21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21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21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21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21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21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21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21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21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21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21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21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21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21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21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21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Y6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9.00390625" style="0" customWidth="1"/>
    <col min="20" max="20" width="10.2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61</v>
      </c>
      <c r="C4" s="119" t="s">
        <v>18</v>
      </c>
      <c r="D4" s="119">
        <v>1</v>
      </c>
      <c r="E4" s="19">
        <v>2</v>
      </c>
      <c r="F4" s="19">
        <v>3</v>
      </c>
      <c r="G4" s="19">
        <v>6</v>
      </c>
      <c r="H4" s="19">
        <v>7</v>
      </c>
      <c r="I4" s="19">
        <v>8</v>
      </c>
      <c r="J4" s="19">
        <v>10</v>
      </c>
      <c r="K4" s="19">
        <v>11</v>
      </c>
      <c r="L4" s="19">
        <v>13</v>
      </c>
      <c r="M4" s="19">
        <v>14</v>
      </c>
      <c r="N4" s="19">
        <v>15</v>
      </c>
      <c r="O4" s="19">
        <v>16</v>
      </c>
      <c r="P4" s="19">
        <v>17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62351.9</v>
      </c>
      <c r="C7" s="86">
        <v>957.1999999999935</v>
      </c>
      <c r="D7" s="122"/>
      <c r="E7" s="39">
        <v>31175.95</v>
      </c>
      <c r="F7" s="39"/>
      <c r="G7" s="39"/>
      <c r="H7" s="124"/>
      <c r="I7" s="125"/>
      <c r="J7" s="39"/>
      <c r="K7" s="39"/>
      <c r="L7" s="39">
        <v>31175.95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C7+E7+L7-AG16-AG25</f>
        <v>9997.099999999995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175251.7</v>
      </c>
      <c r="C8" s="87">
        <v>46010.17824000007</v>
      </c>
      <c r="D8" s="127"/>
      <c r="E8" s="128">
        <v>15900.1</v>
      </c>
      <c r="F8" s="62">
        <v>6112.7</v>
      </c>
      <c r="G8" s="62">
        <v>6641.2</v>
      </c>
      <c r="H8" s="62">
        <v>8176.1</v>
      </c>
      <c r="I8" s="62">
        <v>16323.8</v>
      </c>
      <c r="J8" s="62">
        <v>9464.4</v>
      </c>
      <c r="K8" s="62">
        <v>4428.9</v>
      </c>
      <c r="L8" s="62">
        <v>1596.2</v>
      </c>
      <c r="M8" s="62">
        <v>5121.3</v>
      </c>
      <c r="N8" s="62">
        <v>7635.1</v>
      </c>
      <c r="O8" s="62">
        <v>12409.9</v>
      </c>
      <c r="P8" s="62">
        <v>7138.9</v>
      </c>
      <c r="Q8" s="62">
        <v>8383.7</v>
      </c>
      <c r="R8" s="62">
        <v>9174.8</v>
      </c>
      <c r="S8" s="62">
        <v>6000.8</v>
      </c>
      <c r="T8" s="63">
        <v>6405.7</v>
      </c>
      <c r="U8" s="63">
        <v>4407.4</v>
      </c>
      <c r="V8" s="62">
        <v>4903.4</v>
      </c>
      <c r="W8" s="62">
        <v>4776.1</v>
      </c>
      <c r="X8" s="62">
        <v>4939.7</v>
      </c>
      <c r="Y8" s="62">
        <v>10378.9</v>
      </c>
      <c r="Z8" s="62">
        <v>14932.6</v>
      </c>
      <c r="AA8" s="62"/>
      <c r="AB8" s="62"/>
      <c r="AC8" s="62"/>
      <c r="AD8" s="129"/>
      <c r="AE8" s="129"/>
      <c r="AF8" s="130">
        <f>SUM(D8:AE8)+C8-AG9+AG16+AG25</f>
        <v>51808.37824000011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229019.09999999995</v>
      </c>
      <c r="C9" s="132">
        <f t="shared" si="0"/>
        <v>73688.91483000001</v>
      </c>
      <c r="D9" s="90">
        <f t="shared" si="0"/>
        <v>0</v>
      </c>
      <c r="E9" s="90">
        <f t="shared" si="0"/>
        <v>10633.300000000001</v>
      </c>
      <c r="F9" s="90">
        <f t="shared" si="0"/>
        <v>10038.3</v>
      </c>
      <c r="G9" s="90">
        <f t="shared" si="0"/>
        <v>3756.7</v>
      </c>
      <c r="H9" s="90">
        <f>H10+H15+H24+H33+H47+H52+H54+H61+H62+H71+H72+H88+H76+H81+H83+H82+H69+H89+H90+H91+H70+H40+H92</f>
        <v>3510.4</v>
      </c>
      <c r="I9" s="90">
        <f t="shared" si="0"/>
        <v>5282.1</v>
      </c>
      <c r="J9" s="90">
        <f t="shared" si="0"/>
        <v>13578</v>
      </c>
      <c r="K9" s="90">
        <f t="shared" si="0"/>
        <v>35166.799999999996</v>
      </c>
      <c r="L9" s="90">
        <f t="shared" si="0"/>
        <v>8076.5</v>
      </c>
      <c r="M9" s="90">
        <f t="shared" si="0"/>
        <v>3214</v>
      </c>
      <c r="N9" s="90">
        <f t="shared" si="0"/>
        <v>807.1</v>
      </c>
      <c r="O9" s="90">
        <f t="shared" si="0"/>
        <v>4867.8</v>
      </c>
      <c r="P9" s="90">
        <f t="shared" si="0"/>
        <v>7927.5</v>
      </c>
      <c r="Q9" s="90">
        <f t="shared" si="0"/>
        <v>3407.9</v>
      </c>
      <c r="R9" s="90">
        <f t="shared" si="0"/>
        <v>5663.7</v>
      </c>
      <c r="S9" s="90">
        <f t="shared" si="0"/>
        <v>1038.8</v>
      </c>
      <c r="T9" s="90">
        <f t="shared" si="0"/>
        <v>12953</v>
      </c>
      <c r="U9" s="90">
        <f t="shared" si="0"/>
        <v>3811.3999999999996</v>
      </c>
      <c r="V9" s="90">
        <f t="shared" si="0"/>
        <v>20865.4</v>
      </c>
      <c r="W9" s="90">
        <f t="shared" si="0"/>
        <v>60125.69999999999</v>
      </c>
      <c r="X9" s="90">
        <f t="shared" si="0"/>
        <v>5106.599999999999</v>
      </c>
      <c r="Y9" s="90">
        <f t="shared" si="0"/>
        <v>1040.7</v>
      </c>
      <c r="Z9" s="90">
        <f t="shared" si="0"/>
        <v>1893.8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222765.49999999997</v>
      </c>
      <c r="AH9" s="90">
        <f>AH10+AH15+AH24+AH33+AH47+AH52+AH54+AH61+AH62+AH71+AH72+AH76+AH88+AH81+AH83+AH82+AH69+AH89+AH91+AH90+AH70+AH40+AH92</f>
        <v>79942.51483</v>
      </c>
      <c r="AI9" s="133"/>
      <c r="AJ9" s="133"/>
    </row>
    <row r="10" spans="1:36" s="18" customFormat="1" ht="15.75">
      <c r="A10" s="96" t="s">
        <v>4</v>
      </c>
      <c r="B10" s="97">
        <f>19226.1+35</f>
        <v>19261.1</v>
      </c>
      <c r="C10" s="97">
        <v>4574.100000000002</v>
      </c>
      <c r="D10" s="72"/>
      <c r="E10" s="72">
        <v>443.9</v>
      </c>
      <c r="F10" s="72">
        <v>95.4</v>
      </c>
      <c r="G10" s="72">
        <v>331.1</v>
      </c>
      <c r="H10" s="72">
        <v>76.6</v>
      </c>
      <c r="I10" s="72">
        <v>36.8</v>
      </c>
      <c r="J10" s="72">
        <v>49.5</v>
      </c>
      <c r="K10" s="70">
        <v>1454.8</v>
      </c>
      <c r="L10" s="72">
        <v>2354.1</v>
      </c>
      <c r="M10" s="72">
        <v>2278.3</v>
      </c>
      <c r="N10" s="72">
        <v>13.1</v>
      </c>
      <c r="O10" s="72">
        <v>160.2</v>
      </c>
      <c r="P10" s="72">
        <v>26.9</v>
      </c>
      <c r="Q10" s="72">
        <v>516.5</v>
      </c>
      <c r="R10" s="72">
        <v>1</v>
      </c>
      <c r="S10" s="72">
        <v>19.8</v>
      </c>
      <c r="T10" s="72">
        <v>67.4</v>
      </c>
      <c r="U10" s="72">
        <v>14.6</v>
      </c>
      <c r="V10" s="72">
        <v>1355.2</v>
      </c>
      <c r="W10" s="72">
        <v>3917.1</v>
      </c>
      <c r="X10" s="72">
        <v>4971.5</v>
      </c>
      <c r="Y10" s="72">
        <v>7.7</v>
      </c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18191.500000000004</v>
      </c>
      <c r="AH10" s="72">
        <f>B10+C10-AG10</f>
        <v>5643.699999999997</v>
      </c>
      <c r="AJ10" s="21"/>
    </row>
    <row r="11" spans="1:36" s="18" customFormat="1" ht="15.75">
      <c r="A11" s="98" t="s">
        <v>5</v>
      </c>
      <c r="B11" s="97">
        <v>18077.5</v>
      </c>
      <c r="C11" s="97">
        <v>3442.900000000005</v>
      </c>
      <c r="D11" s="72"/>
      <c r="E11" s="72">
        <v>443.9</v>
      </c>
      <c r="F11" s="72">
        <v>70.3</v>
      </c>
      <c r="G11" s="72">
        <v>10.4</v>
      </c>
      <c r="H11" s="72">
        <v>66.5</v>
      </c>
      <c r="I11" s="72"/>
      <c r="J11" s="72"/>
      <c r="K11" s="72">
        <v>1293</v>
      </c>
      <c r="L11" s="72">
        <v>2348.9</v>
      </c>
      <c r="M11" s="72">
        <v>2098.9</v>
      </c>
      <c r="N11" s="72"/>
      <c r="O11" s="72">
        <v>101.7</v>
      </c>
      <c r="P11" s="72">
        <v>0.4</v>
      </c>
      <c r="Q11" s="72">
        <v>516</v>
      </c>
      <c r="R11" s="72"/>
      <c r="S11" s="72">
        <v>10.8</v>
      </c>
      <c r="T11" s="72"/>
      <c r="U11" s="72"/>
      <c r="V11" s="72">
        <v>1290.2</v>
      </c>
      <c r="W11" s="72">
        <v>3880.2</v>
      </c>
      <c r="X11" s="72">
        <v>4953.9</v>
      </c>
      <c r="Y11" s="72"/>
      <c r="Z11" s="72"/>
      <c r="AA11" s="72"/>
      <c r="AB11" s="72"/>
      <c r="AC11" s="72"/>
      <c r="AD11" s="72"/>
      <c r="AE11" s="72"/>
      <c r="AF11" s="72"/>
      <c r="AG11" s="72">
        <f t="shared" si="1"/>
        <v>17085.1</v>
      </c>
      <c r="AH11" s="72">
        <f>B11+C11-AG11</f>
        <v>4435.300000000007</v>
      </c>
      <c r="AJ11" s="21"/>
    </row>
    <row r="12" spans="1:36" s="18" customFormat="1" ht="15.75">
      <c r="A12" s="98" t="s">
        <v>2</v>
      </c>
      <c r="B12" s="99">
        <f>94.9+60</f>
        <v>154.9</v>
      </c>
      <c r="C12" s="97">
        <v>189.39999999999998</v>
      </c>
      <c r="D12" s="72"/>
      <c r="E12" s="72"/>
      <c r="F12" s="72"/>
      <c r="G12" s="72">
        <f>127.9-10.1</f>
        <v>117.80000000000001</v>
      </c>
      <c r="H12" s="72">
        <v>10</v>
      </c>
      <c r="I12" s="72">
        <v>5.9</v>
      </c>
      <c r="J12" s="72"/>
      <c r="K12" s="72">
        <v>112.5</v>
      </c>
      <c r="L12" s="72"/>
      <c r="M12" s="72">
        <v>3.5</v>
      </c>
      <c r="N12" s="72"/>
      <c r="O12" s="72">
        <v>4.3</v>
      </c>
      <c r="P12" s="72"/>
      <c r="Q12" s="72"/>
      <c r="R12" s="72"/>
      <c r="S12" s="72">
        <v>3</v>
      </c>
      <c r="T12" s="72">
        <v>9.2</v>
      </c>
      <c r="U12" s="72"/>
      <c r="V12" s="72">
        <v>59.4</v>
      </c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>
        <f t="shared" si="1"/>
        <v>325.59999999999997</v>
      </c>
      <c r="AH12" s="72">
        <f>B12+C12-AG12</f>
        <v>18.69999999999999</v>
      </c>
      <c r="AJ12" s="21"/>
    </row>
    <row r="13" spans="1:36" s="18" customFormat="1" ht="15.75" hidden="1">
      <c r="A13" s="98" t="s">
        <v>16</v>
      </c>
      <c r="B13" s="97"/>
      <c r="C13" s="97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>
        <f t="shared" si="1"/>
        <v>0</v>
      </c>
      <c r="AH13" s="72">
        <f>B13+C13-AG13</f>
        <v>0</v>
      </c>
      <c r="AJ13" s="21"/>
    </row>
    <row r="14" spans="1:36" s="18" customFormat="1" ht="15.75">
      <c r="A14" s="98" t="s">
        <v>23</v>
      </c>
      <c r="B14" s="97">
        <f aca="true" t="shared" si="2" ref="B14:Z14">B10-B11-B12-B13</f>
        <v>1028.6999999999985</v>
      </c>
      <c r="C14" s="97">
        <v>941.7999999999971</v>
      </c>
      <c r="D14" s="72">
        <f t="shared" si="2"/>
        <v>0</v>
      </c>
      <c r="E14" s="72">
        <f t="shared" si="2"/>
        <v>0</v>
      </c>
      <c r="F14" s="72">
        <f t="shared" si="2"/>
        <v>25.10000000000001</v>
      </c>
      <c r="G14" s="72">
        <f t="shared" si="2"/>
        <v>202.90000000000003</v>
      </c>
      <c r="H14" s="72">
        <f>H10-H11-H12-H13</f>
        <v>0.09999999999999432</v>
      </c>
      <c r="I14" s="72">
        <f t="shared" si="2"/>
        <v>30.9</v>
      </c>
      <c r="J14" s="72">
        <f t="shared" si="2"/>
        <v>49.5</v>
      </c>
      <c r="K14" s="72">
        <f t="shared" si="2"/>
        <v>49.299999999999955</v>
      </c>
      <c r="L14" s="72">
        <f t="shared" si="2"/>
        <v>5.199999999999818</v>
      </c>
      <c r="M14" s="72">
        <f t="shared" si="2"/>
        <v>175.9000000000001</v>
      </c>
      <c r="N14" s="72">
        <f t="shared" si="2"/>
        <v>13.1</v>
      </c>
      <c r="O14" s="72">
        <f t="shared" si="2"/>
        <v>54.19999999999999</v>
      </c>
      <c r="P14" s="72">
        <f t="shared" si="2"/>
        <v>26.5</v>
      </c>
      <c r="Q14" s="72">
        <f t="shared" si="2"/>
        <v>0.5</v>
      </c>
      <c r="R14" s="72">
        <f t="shared" si="2"/>
        <v>1</v>
      </c>
      <c r="S14" s="72">
        <f t="shared" si="2"/>
        <v>6</v>
      </c>
      <c r="T14" s="72">
        <f t="shared" si="2"/>
        <v>58.2</v>
      </c>
      <c r="U14" s="72">
        <f t="shared" si="2"/>
        <v>14.6</v>
      </c>
      <c r="V14" s="72">
        <f t="shared" si="2"/>
        <v>5.600000000000001</v>
      </c>
      <c r="W14" s="72">
        <f t="shared" si="2"/>
        <v>36.90000000000009</v>
      </c>
      <c r="X14" s="72">
        <f t="shared" si="2"/>
        <v>17.600000000000364</v>
      </c>
      <c r="Y14" s="72">
        <f t="shared" si="2"/>
        <v>7.7</v>
      </c>
      <c r="Z14" s="72">
        <f t="shared" si="2"/>
        <v>0</v>
      </c>
      <c r="AA14" s="72"/>
      <c r="AB14" s="72"/>
      <c r="AC14" s="72"/>
      <c r="AD14" s="72"/>
      <c r="AE14" s="72"/>
      <c r="AF14" s="72"/>
      <c r="AG14" s="72">
        <f t="shared" si="1"/>
        <v>780.8000000000004</v>
      </c>
      <c r="AH14" s="72">
        <f>AH10-AH11-AH12-AH13</f>
        <v>1189.6999999999905</v>
      </c>
      <c r="AJ14" s="21"/>
    </row>
    <row r="15" spans="1:36" s="18" customFormat="1" ht="15" customHeight="1">
      <c r="A15" s="96" t="s">
        <v>6</v>
      </c>
      <c r="B15" s="97">
        <f>105110.8-6000</f>
        <v>99110.8</v>
      </c>
      <c r="C15" s="97">
        <v>31558.09999999999</v>
      </c>
      <c r="D15" s="100"/>
      <c r="E15" s="100">
        <f>39.5+14.3</f>
        <v>53.8</v>
      </c>
      <c r="F15" s="72"/>
      <c r="G15" s="72">
        <v>1260.1</v>
      </c>
      <c r="H15" s="72">
        <v>405.8</v>
      </c>
      <c r="I15" s="72">
        <v>252.6</v>
      </c>
      <c r="J15" s="72">
        <v>2133.3</v>
      </c>
      <c r="K15" s="72">
        <f>13730.5+10532.6</f>
        <v>24263.1</v>
      </c>
      <c r="L15" s="72">
        <v>1117.8</v>
      </c>
      <c r="M15" s="72">
        <v>436</v>
      </c>
      <c r="N15" s="72">
        <v>409.4</v>
      </c>
      <c r="O15" s="72">
        <v>572.5</v>
      </c>
      <c r="P15" s="72">
        <v>924.7</v>
      </c>
      <c r="Q15" s="72">
        <v>143.2</v>
      </c>
      <c r="R15" s="72">
        <v>762.1</v>
      </c>
      <c r="S15" s="72">
        <v>701</v>
      </c>
      <c r="T15" s="72">
        <v>75.3</v>
      </c>
      <c r="U15" s="72">
        <f>1449.6</f>
        <v>1449.6</v>
      </c>
      <c r="V15" s="72">
        <v>1.5</v>
      </c>
      <c r="W15" s="72">
        <f>26550.1+25726.8</f>
        <v>52276.899999999994</v>
      </c>
      <c r="X15" s="72">
        <v>14.9</v>
      </c>
      <c r="Y15" s="72"/>
      <c r="Z15" s="72"/>
      <c r="AA15" s="72"/>
      <c r="AB15" s="72"/>
      <c r="AC15" s="72"/>
      <c r="AD15" s="72"/>
      <c r="AE15" s="72"/>
      <c r="AF15" s="72"/>
      <c r="AG15" s="72">
        <f t="shared" si="1"/>
        <v>87253.59999999998</v>
      </c>
      <c r="AH15" s="72">
        <f aca="true" t="shared" si="3" ref="AH15:AH31">B15+C15-AG15</f>
        <v>43415.30000000002</v>
      </c>
      <c r="AJ15" s="21"/>
    </row>
    <row r="16" spans="1:36" s="104" customFormat="1" ht="15" customHeight="1">
      <c r="A16" s="101" t="s">
        <v>38</v>
      </c>
      <c r="B16" s="102">
        <v>45313.7</v>
      </c>
      <c r="C16" s="102">
        <v>58.99999999999636</v>
      </c>
      <c r="D16" s="88"/>
      <c r="E16" s="88">
        <v>14.3</v>
      </c>
      <c r="F16" s="76"/>
      <c r="G16" s="76"/>
      <c r="H16" s="76"/>
      <c r="I16" s="76"/>
      <c r="J16" s="76"/>
      <c r="K16" s="76">
        <v>10532.6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>
        <v>25726.8</v>
      </c>
      <c r="X16" s="76"/>
      <c r="Y16" s="76"/>
      <c r="Z16" s="76"/>
      <c r="AA16" s="76"/>
      <c r="AB16" s="76"/>
      <c r="AC16" s="76"/>
      <c r="AD16" s="76"/>
      <c r="AE16" s="76"/>
      <c r="AF16" s="76"/>
      <c r="AG16" s="88">
        <f t="shared" si="1"/>
        <v>36273.7</v>
      </c>
      <c r="AH16" s="88">
        <f t="shared" si="3"/>
        <v>9099</v>
      </c>
      <c r="AI16" s="103"/>
      <c r="AJ16" s="21"/>
    </row>
    <row r="17" spans="1:36" s="18" customFormat="1" ht="15.75">
      <c r="A17" s="98" t="s">
        <v>5</v>
      </c>
      <c r="B17" s="97">
        <v>93423.2</v>
      </c>
      <c r="C17" s="97">
        <v>6496.159999999996</v>
      </c>
      <c r="D17" s="72"/>
      <c r="E17" s="72">
        <f>39.5+14.3</f>
        <v>53.8</v>
      </c>
      <c r="F17" s="72"/>
      <c r="G17" s="72"/>
      <c r="H17" s="72"/>
      <c r="I17" s="72"/>
      <c r="J17" s="72"/>
      <c r="K17" s="72">
        <f>10532.6+12547.2</f>
        <v>23079.800000000003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>
        <f>25798.9+25726.8</f>
        <v>51525.7</v>
      </c>
      <c r="X17" s="72"/>
      <c r="Y17" s="72"/>
      <c r="Z17" s="72"/>
      <c r="AA17" s="72"/>
      <c r="AB17" s="72"/>
      <c r="AC17" s="72"/>
      <c r="AD17" s="72"/>
      <c r="AE17" s="72"/>
      <c r="AF17" s="72"/>
      <c r="AG17" s="72">
        <f t="shared" si="1"/>
        <v>74659.3</v>
      </c>
      <c r="AH17" s="72">
        <f t="shared" si="3"/>
        <v>25260.059999999983</v>
      </c>
      <c r="AI17" s="21"/>
      <c r="AJ17" s="21"/>
    </row>
    <row r="18" spans="1:36" s="18" customFormat="1" ht="15.75">
      <c r="A18" s="98" t="s">
        <v>3</v>
      </c>
      <c r="B18" s="97">
        <v>0</v>
      </c>
      <c r="C18" s="97">
        <v>15.100000000000001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>
        <v>0.4</v>
      </c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>
        <f t="shared" si="1"/>
        <v>0.4</v>
      </c>
      <c r="AH18" s="72">
        <f t="shared" si="3"/>
        <v>14.700000000000001</v>
      </c>
      <c r="AJ18" s="21"/>
    </row>
    <row r="19" spans="1:36" s="18" customFormat="1" ht="15.75">
      <c r="A19" s="98" t="s">
        <v>1</v>
      </c>
      <c r="B19" s="97">
        <v>5116.3</v>
      </c>
      <c r="C19" s="97">
        <v>2548.5999999999985</v>
      </c>
      <c r="D19" s="72"/>
      <c r="E19" s="72"/>
      <c r="F19" s="72"/>
      <c r="G19" s="72">
        <v>708.8</v>
      </c>
      <c r="H19" s="72">
        <v>214.1</v>
      </c>
      <c r="I19" s="72">
        <v>98</v>
      </c>
      <c r="J19" s="72">
        <v>840.2</v>
      </c>
      <c r="K19" s="72">
        <v>413</v>
      </c>
      <c r="L19" s="72">
        <v>34.3</v>
      </c>
      <c r="M19" s="72">
        <v>314.6</v>
      </c>
      <c r="N19" s="72">
        <v>100.4</v>
      </c>
      <c r="O19" s="72">
        <v>456.8</v>
      </c>
      <c r="P19" s="72">
        <f>441.8-0.1</f>
        <v>441.7</v>
      </c>
      <c r="Q19" s="72"/>
      <c r="R19" s="72">
        <v>78.1</v>
      </c>
      <c r="S19" s="72">
        <f>348.9-0.1</f>
        <v>348.79999999999995</v>
      </c>
      <c r="T19" s="72">
        <v>2.2</v>
      </c>
      <c r="U19" s="72">
        <v>951.6</v>
      </c>
      <c r="V19" s="72">
        <v>1.2</v>
      </c>
      <c r="W19" s="72">
        <v>34.1</v>
      </c>
      <c r="X19" s="72">
        <v>1.7</v>
      </c>
      <c r="Y19" s="72"/>
      <c r="Z19" s="72"/>
      <c r="AA19" s="72"/>
      <c r="AB19" s="72"/>
      <c r="AC19" s="72"/>
      <c r="AD19" s="72"/>
      <c r="AE19" s="72"/>
      <c r="AF19" s="72"/>
      <c r="AG19" s="72">
        <f t="shared" si="1"/>
        <v>5039.6</v>
      </c>
      <c r="AH19" s="72">
        <f t="shared" si="3"/>
        <v>2625.2999999999984</v>
      </c>
      <c r="AJ19" s="21"/>
    </row>
    <row r="20" spans="1:36" s="18" customFormat="1" ht="15.75">
      <c r="A20" s="98" t="s">
        <v>2</v>
      </c>
      <c r="B20" s="97">
        <f>1951.1-6000+4.2</f>
        <v>-4044.7000000000003</v>
      </c>
      <c r="C20" s="97">
        <v>16839.699999999997</v>
      </c>
      <c r="D20" s="72"/>
      <c r="E20" s="72"/>
      <c r="F20" s="72"/>
      <c r="G20" s="72">
        <v>499.3</v>
      </c>
      <c r="H20" s="72">
        <v>189</v>
      </c>
      <c r="I20" s="72">
        <v>105</v>
      </c>
      <c r="J20" s="72">
        <v>924.1</v>
      </c>
      <c r="K20" s="72">
        <v>743.1</v>
      </c>
      <c r="L20" s="72">
        <v>713.2</v>
      </c>
      <c r="M20" s="72">
        <v>2.5</v>
      </c>
      <c r="N20" s="72">
        <v>274</v>
      </c>
      <c r="O20" s="72">
        <v>68.8</v>
      </c>
      <c r="P20" s="72">
        <v>344.9</v>
      </c>
      <c r="Q20" s="72"/>
      <c r="R20" s="72">
        <v>81.5</v>
      </c>
      <c r="S20" s="72">
        <v>43.7</v>
      </c>
      <c r="T20" s="72">
        <v>7.6</v>
      </c>
      <c r="U20" s="72">
        <f>232.5+0.7</f>
        <v>233.2</v>
      </c>
      <c r="V20" s="72"/>
      <c r="W20" s="72">
        <v>455.8</v>
      </c>
      <c r="X20" s="72">
        <v>0.6</v>
      </c>
      <c r="Y20" s="72"/>
      <c r="Z20" s="72"/>
      <c r="AA20" s="72"/>
      <c r="AB20" s="72"/>
      <c r="AC20" s="72"/>
      <c r="AD20" s="72"/>
      <c r="AE20" s="72"/>
      <c r="AF20" s="72"/>
      <c r="AG20" s="72">
        <f t="shared" si="1"/>
        <v>4686.3</v>
      </c>
      <c r="AH20" s="72">
        <f t="shared" si="3"/>
        <v>8108.699999999996</v>
      </c>
      <c r="AJ20" s="21"/>
    </row>
    <row r="21" spans="1:36" s="18" customFormat="1" ht="15.75">
      <c r="A21" s="98" t="s">
        <v>16</v>
      </c>
      <c r="B21" s="97">
        <v>1258.9</v>
      </c>
      <c r="C21" s="97">
        <v>516.6999999999999</v>
      </c>
      <c r="D21" s="72"/>
      <c r="E21" s="72"/>
      <c r="F21" s="72"/>
      <c r="G21" s="72"/>
      <c r="H21" s="72"/>
      <c r="I21" s="72"/>
      <c r="J21" s="72">
        <v>205.8</v>
      </c>
      <c r="K21" s="72"/>
      <c r="L21" s="72"/>
      <c r="M21" s="72"/>
      <c r="N21" s="72">
        <v>21</v>
      </c>
      <c r="O21" s="72"/>
      <c r="P21" s="72"/>
      <c r="Q21" s="72"/>
      <c r="R21" s="72">
        <f>475.1+46.1</f>
        <v>521.2</v>
      </c>
      <c r="S21" s="72">
        <v>265</v>
      </c>
      <c r="T21" s="72">
        <v>1</v>
      </c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>
        <f t="shared" si="1"/>
        <v>1014</v>
      </c>
      <c r="AH21" s="72">
        <f t="shared" si="3"/>
        <v>761.5999999999999</v>
      </c>
      <c r="AJ21" s="21"/>
    </row>
    <row r="22" spans="1:36" s="18" customFormat="1" ht="15.75" hidden="1">
      <c r="A22" s="98" t="s">
        <v>15</v>
      </c>
      <c r="B22" s="105"/>
      <c r="C22" s="97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>
        <f t="shared" si="1"/>
        <v>0</v>
      </c>
      <c r="AH22" s="72">
        <f t="shared" si="3"/>
        <v>0</v>
      </c>
      <c r="AJ22" s="21"/>
    </row>
    <row r="23" spans="1:36" s="18" customFormat="1" ht="15.75">
      <c r="A23" s="98" t="s">
        <v>23</v>
      </c>
      <c r="B23" s="97">
        <f>B15-B17-B18-B19-B20-B21-B22</f>
        <v>3357.1000000000054</v>
      </c>
      <c r="C23" s="97">
        <f>C15-C17-C18-C19-C20-C21-C22</f>
        <v>5141.840000000001</v>
      </c>
      <c r="D23" s="72">
        <f aca="true" t="shared" si="4" ref="D23:AE23">D15-D17-D18-D19-D20-D21-D22</f>
        <v>0</v>
      </c>
      <c r="E23" s="72">
        <f t="shared" si="4"/>
        <v>0</v>
      </c>
      <c r="F23" s="72">
        <f t="shared" si="4"/>
        <v>0</v>
      </c>
      <c r="G23" s="72">
        <f t="shared" si="4"/>
        <v>51.99999999999994</v>
      </c>
      <c r="H23" s="72">
        <f>H15-H17-H18-H19-H20-H21-H22</f>
        <v>2.700000000000017</v>
      </c>
      <c r="I23" s="72">
        <f t="shared" si="4"/>
        <v>49.599999999999994</v>
      </c>
      <c r="J23" s="72">
        <f t="shared" si="4"/>
        <v>163.2000000000001</v>
      </c>
      <c r="K23" s="72">
        <f t="shared" si="4"/>
        <v>27.19999999999561</v>
      </c>
      <c r="L23" s="72">
        <f t="shared" si="4"/>
        <v>370.29999999999995</v>
      </c>
      <c r="M23" s="72">
        <f t="shared" si="4"/>
        <v>118.89999999999998</v>
      </c>
      <c r="N23" s="72">
        <f t="shared" si="4"/>
        <v>14</v>
      </c>
      <c r="O23" s="72">
        <f t="shared" si="4"/>
        <v>46.89999999999999</v>
      </c>
      <c r="P23" s="72">
        <f t="shared" si="4"/>
        <v>138.10000000000008</v>
      </c>
      <c r="Q23" s="72">
        <f t="shared" si="4"/>
        <v>143.2</v>
      </c>
      <c r="R23" s="72">
        <f t="shared" si="4"/>
        <v>81.29999999999995</v>
      </c>
      <c r="S23" s="72">
        <f t="shared" si="4"/>
        <v>43.50000000000006</v>
      </c>
      <c r="T23" s="72">
        <f t="shared" si="4"/>
        <v>64.5</v>
      </c>
      <c r="U23" s="72">
        <f t="shared" si="4"/>
        <v>264.3999999999998</v>
      </c>
      <c r="V23" s="72">
        <f t="shared" si="4"/>
        <v>0.30000000000000004</v>
      </c>
      <c r="W23" s="72">
        <f t="shared" si="4"/>
        <v>261.29999999999706</v>
      </c>
      <c r="X23" s="72">
        <f t="shared" si="4"/>
        <v>12.600000000000001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>
        <f t="shared" si="4"/>
        <v>0</v>
      </c>
      <c r="AF23" s="72"/>
      <c r="AG23" s="72">
        <f>SUM(D23:AE23)</f>
        <v>1853.9999999999925</v>
      </c>
      <c r="AH23" s="72">
        <f>B23+C23-AG23</f>
        <v>6644.940000000013</v>
      </c>
      <c r="AJ23" s="21"/>
    </row>
    <row r="24" spans="1:36" s="18" customFormat="1" ht="15" customHeight="1">
      <c r="A24" s="96" t="s">
        <v>7</v>
      </c>
      <c r="B24" s="97">
        <f>37918.1-3000</f>
        <v>34918.1</v>
      </c>
      <c r="C24" s="97">
        <v>14046.100000000006</v>
      </c>
      <c r="D24" s="72"/>
      <c r="E24" s="72">
        <v>66</v>
      </c>
      <c r="F24" s="72">
        <f>205.9+78.6</f>
        <v>284.5</v>
      </c>
      <c r="G24" s="72">
        <f>84.6+109.2</f>
        <v>193.8</v>
      </c>
      <c r="H24" s="72">
        <v>117.8</v>
      </c>
      <c r="I24" s="72">
        <v>150.5</v>
      </c>
      <c r="J24" s="72">
        <f>1572.9+369.6</f>
        <v>1942.5</v>
      </c>
      <c r="K24" s="72">
        <f>737.8+7895.9</f>
        <v>8633.699999999999</v>
      </c>
      <c r="L24" s="72">
        <v>2034.2</v>
      </c>
      <c r="M24" s="72">
        <v>100.3</v>
      </c>
      <c r="N24" s="72">
        <v>0.9</v>
      </c>
      <c r="O24" s="72"/>
      <c r="P24" s="72">
        <f>1120.8+1222.4</f>
        <v>2343.2</v>
      </c>
      <c r="Q24" s="72">
        <v>4</v>
      </c>
      <c r="R24" s="72">
        <v>8.9</v>
      </c>
      <c r="S24" s="72">
        <v>180.1</v>
      </c>
      <c r="T24" s="72"/>
      <c r="U24" s="72">
        <f>515.8+1219.3</f>
        <v>1735.1</v>
      </c>
      <c r="V24" s="72">
        <f>11997.9+4043.1</f>
        <v>16041</v>
      </c>
      <c r="W24" s="72">
        <f>0.1</f>
        <v>0.1</v>
      </c>
      <c r="X24" s="72"/>
      <c r="Y24" s="72"/>
      <c r="Z24" s="72"/>
      <c r="AA24" s="72"/>
      <c r="AB24" s="72"/>
      <c r="AC24" s="72"/>
      <c r="AD24" s="72"/>
      <c r="AE24" s="72"/>
      <c r="AF24" s="72"/>
      <c r="AG24" s="72">
        <f t="shared" si="1"/>
        <v>33836.6</v>
      </c>
      <c r="AH24" s="72">
        <f t="shared" si="3"/>
        <v>15127.600000000006</v>
      </c>
      <c r="AJ24" s="21"/>
    </row>
    <row r="25" spans="1:36" s="104" customFormat="1" ht="15" customHeight="1">
      <c r="A25" s="101" t="s">
        <v>39</v>
      </c>
      <c r="B25" s="102">
        <v>17137.9</v>
      </c>
      <c r="C25" s="102">
        <v>99.79999999999927</v>
      </c>
      <c r="D25" s="76"/>
      <c r="E25" s="76">
        <v>66</v>
      </c>
      <c r="F25" s="76">
        <v>78.6</v>
      </c>
      <c r="G25" s="76">
        <v>109.2</v>
      </c>
      <c r="H25" s="76"/>
      <c r="I25" s="76"/>
      <c r="J25" s="76">
        <v>369.6</v>
      </c>
      <c r="K25" s="76">
        <v>7895.9</v>
      </c>
      <c r="L25" s="76">
        <v>2034.2</v>
      </c>
      <c r="M25" s="76"/>
      <c r="N25" s="76"/>
      <c r="O25" s="76"/>
      <c r="P25" s="76">
        <v>1222.4</v>
      </c>
      <c r="Q25" s="76"/>
      <c r="R25" s="76"/>
      <c r="S25" s="76"/>
      <c r="T25" s="76"/>
      <c r="U25" s="76">
        <v>1219.3</v>
      </c>
      <c r="V25" s="76">
        <v>4043.1</v>
      </c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88">
        <f t="shared" si="1"/>
        <v>17038.3</v>
      </c>
      <c r="AH25" s="88">
        <f t="shared" si="3"/>
        <v>199.40000000000146</v>
      </c>
      <c r="AI25" s="103"/>
      <c r="AJ25" s="21"/>
    </row>
    <row r="26" spans="1:36" s="18" customFormat="1" ht="15.75" hidden="1">
      <c r="A26" s="98" t="s">
        <v>5</v>
      </c>
      <c r="B26" s="97"/>
      <c r="C26" s="97">
        <v>0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>
        <f t="shared" si="1"/>
        <v>0</v>
      </c>
      <c r="AH26" s="72">
        <f t="shared" si="3"/>
        <v>0</v>
      </c>
      <c r="AI26" s="21"/>
      <c r="AJ26" s="21"/>
    </row>
    <row r="27" spans="1:36" s="18" customFormat="1" ht="15.75" hidden="1">
      <c r="A27" s="98" t="s">
        <v>3</v>
      </c>
      <c r="B27" s="97"/>
      <c r="C27" s="97"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>
        <f t="shared" si="1"/>
        <v>0</v>
      </c>
      <c r="AH27" s="72">
        <f t="shared" si="3"/>
        <v>0</v>
      </c>
      <c r="AJ27" s="21"/>
    </row>
    <row r="28" spans="1:36" s="18" customFormat="1" ht="15.75" hidden="1">
      <c r="A28" s="98" t="s">
        <v>1</v>
      </c>
      <c r="B28" s="97"/>
      <c r="C28" s="97">
        <v>0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>
        <f t="shared" si="1"/>
        <v>0</v>
      </c>
      <c r="AH28" s="72">
        <f t="shared" si="3"/>
        <v>0</v>
      </c>
      <c r="AJ28" s="21"/>
    </row>
    <row r="29" spans="1:36" s="18" customFormat="1" ht="15.75" hidden="1">
      <c r="A29" s="98" t="s">
        <v>2</v>
      </c>
      <c r="B29" s="97"/>
      <c r="C29" s="97"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>
        <f t="shared" si="1"/>
        <v>0</v>
      </c>
      <c r="AH29" s="72">
        <f t="shared" si="3"/>
        <v>0</v>
      </c>
      <c r="AJ29" s="21"/>
    </row>
    <row r="30" spans="1:36" s="18" customFormat="1" ht="15.75">
      <c r="A30" s="98" t="s">
        <v>16</v>
      </c>
      <c r="B30" s="97">
        <v>90.9</v>
      </c>
      <c r="C30" s="97">
        <v>73.30000000000001</v>
      </c>
      <c r="D30" s="72"/>
      <c r="E30" s="72"/>
      <c r="F30" s="72"/>
      <c r="G30" s="72"/>
      <c r="H30" s="72"/>
      <c r="I30" s="72"/>
      <c r="J30" s="72"/>
      <c r="K30" s="72"/>
      <c r="L30" s="72"/>
      <c r="M30" s="72">
        <v>100.3</v>
      </c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>
        <f t="shared" si="1"/>
        <v>100.3</v>
      </c>
      <c r="AH30" s="72">
        <f t="shared" si="3"/>
        <v>63.90000000000002</v>
      </c>
      <c r="AJ30" s="21"/>
    </row>
    <row r="31" spans="1:36" s="18" customFormat="1" ht="15.75" hidden="1">
      <c r="A31" s="98" t="s">
        <v>15</v>
      </c>
      <c r="B31" s="97"/>
      <c r="C31" s="97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f t="shared" si="1"/>
        <v>0</v>
      </c>
      <c r="AH31" s="72">
        <f t="shared" si="3"/>
        <v>0</v>
      </c>
      <c r="AJ31" s="21"/>
    </row>
    <row r="32" spans="1:36" s="18" customFormat="1" ht="15.75">
      <c r="A32" s="98" t="s">
        <v>23</v>
      </c>
      <c r="B32" s="97">
        <f>B24-B30</f>
        <v>34827.2</v>
      </c>
      <c r="C32" s="97">
        <v>13972.800000000007</v>
      </c>
      <c r="D32" s="72">
        <f aca="true" t="shared" si="5" ref="D32:AE32">D24-D26-D27-D28-D29-D30-D31</f>
        <v>0</v>
      </c>
      <c r="E32" s="72">
        <f t="shared" si="5"/>
        <v>66</v>
      </c>
      <c r="F32" s="72">
        <f t="shared" si="5"/>
        <v>284.5</v>
      </c>
      <c r="G32" s="72">
        <f t="shared" si="5"/>
        <v>193.8</v>
      </c>
      <c r="H32" s="72">
        <f>H24-H26-H27-H28-H29-H30-H31</f>
        <v>117.8</v>
      </c>
      <c r="I32" s="72">
        <f t="shared" si="5"/>
        <v>150.5</v>
      </c>
      <c r="J32" s="72">
        <f t="shared" si="5"/>
        <v>1942.5</v>
      </c>
      <c r="K32" s="72">
        <f t="shared" si="5"/>
        <v>8633.699999999999</v>
      </c>
      <c r="L32" s="72">
        <f t="shared" si="5"/>
        <v>2034.2</v>
      </c>
      <c r="M32" s="72">
        <f t="shared" si="5"/>
        <v>0</v>
      </c>
      <c r="N32" s="72">
        <f t="shared" si="5"/>
        <v>0.9</v>
      </c>
      <c r="O32" s="72">
        <f t="shared" si="5"/>
        <v>0</v>
      </c>
      <c r="P32" s="72">
        <f t="shared" si="5"/>
        <v>2343.2</v>
      </c>
      <c r="Q32" s="72">
        <f t="shared" si="5"/>
        <v>4</v>
      </c>
      <c r="R32" s="72">
        <f t="shared" si="5"/>
        <v>8.9</v>
      </c>
      <c r="S32" s="72">
        <f t="shared" si="5"/>
        <v>180.1</v>
      </c>
      <c r="T32" s="72">
        <f t="shared" si="5"/>
        <v>0</v>
      </c>
      <c r="U32" s="72">
        <f t="shared" si="5"/>
        <v>1735.1</v>
      </c>
      <c r="V32" s="72">
        <f t="shared" si="5"/>
        <v>16041</v>
      </c>
      <c r="W32" s="72">
        <f t="shared" si="5"/>
        <v>0.1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>
        <f t="shared" si="5"/>
        <v>0</v>
      </c>
      <c r="AF32" s="72"/>
      <c r="AG32" s="72">
        <f t="shared" si="1"/>
        <v>33736.299999999996</v>
      </c>
      <c r="AH32" s="72">
        <f>AH24-AH30</f>
        <v>15063.700000000006</v>
      </c>
      <c r="AJ32" s="21"/>
    </row>
    <row r="33" spans="1:36" s="18" customFormat="1" ht="15" customHeight="1">
      <c r="A33" s="96" t="s">
        <v>8</v>
      </c>
      <c r="B33" s="97">
        <v>860.3</v>
      </c>
      <c r="C33" s="97">
        <v>170.80000000000018</v>
      </c>
      <c r="D33" s="72"/>
      <c r="E33" s="72"/>
      <c r="F33" s="72"/>
      <c r="G33" s="72"/>
      <c r="H33" s="72"/>
      <c r="I33" s="72"/>
      <c r="J33" s="72"/>
      <c r="K33" s="72">
        <v>49.5</v>
      </c>
      <c r="L33" s="72">
        <v>49.3</v>
      </c>
      <c r="M33" s="72"/>
      <c r="N33" s="72"/>
      <c r="O33" s="72"/>
      <c r="P33" s="72"/>
      <c r="Q33" s="72">
        <v>61.5</v>
      </c>
      <c r="R33" s="72"/>
      <c r="S33" s="72"/>
      <c r="T33" s="72"/>
      <c r="U33" s="72"/>
      <c r="V33" s="72"/>
      <c r="W33" s="72">
        <v>235.8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>
        <f>SUM(D33:AE33)</f>
        <v>396.1</v>
      </c>
      <c r="AH33" s="72">
        <f aca="true" t="shared" si="6" ref="AH33:AH38">B33+C33-AG33</f>
        <v>635.0000000000001</v>
      </c>
      <c r="AJ33" s="21"/>
    </row>
    <row r="34" spans="1:36" s="18" customFormat="1" ht="15.75">
      <c r="A34" s="98" t="s">
        <v>5</v>
      </c>
      <c r="B34" s="97">
        <f>309-0.1</f>
        <v>308.9</v>
      </c>
      <c r="C34" s="97">
        <v>12.800000000000011</v>
      </c>
      <c r="D34" s="72"/>
      <c r="E34" s="72"/>
      <c r="F34" s="72"/>
      <c r="G34" s="72"/>
      <c r="H34" s="72"/>
      <c r="I34" s="72"/>
      <c r="J34" s="72"/>
      <c r="K34" s="72">
        <v>49.5</v>
      </c>
      <c r="L34" s="72">
        <v>34.4</v>
      </c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>
        <v>208.9</v>
      </c>
      <c r="X34" s="72"/>
      <c r="Y34" s="72"/>
      <c r="Z34" s="72"/>
      <c r="AA34" s="72"/>
      <c r="AB34" s="72"/>
      <c r="AC34" s="72"/>
      <c r="AD34" s="72"/>
      <c r="AE34" s="72"/>
      <c r="AF34" s="72"/>
      <c r="AG34" s="72">
        <f t="shared" si="1"/>
        <v>292.8</v>
      </c>
      <c r="AH34" s="72">
        <f t="shared" si="6"/>
        <v>28.899999999999977</v>
      </c>
      <c r="AJ34" s="21"/>
    </row>
    <row r="35" spans="1:36" s="18" customFormat="1" ht="15.75">
      <c r="A35" s="98" t="s">
        <v>1</v>
      </c>
      <c r="B35" s="97">
        <v>420</v>
      </c>
      <c r="C35" s="97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>
        <f t="shared" si="1"/>
        <v>0</v>
      </c>
      <c r="AH35" s="72">
        <f t="shared" si="6"/>
        <v>420</v>
      </c>
      <c r="AJ35" s="21"/>
    </row>
    <row r="36" spans="1:36" s="18" customFormat="1" ht="15.75">
      <c r="A36" s="98" t="s">
        <v>2</v>
      </c>
      <c r="B36" s="105">
        <f>12.6-0.1</f>
        <v>12.5</v>
      </c>
      <c r="C36" s="97">
        <v>78.4</v>
      </c>
      <c r="D36" s="72"/>
      <c r="E36" s="72"/>
      <c r="F36" s="72"/>
      <c r="G36" s="72"/>
      <c r="H36" s="72"/>
      <c r="I36" s="72"/>
      <c r="J36" s="72"/>
      <c r="K36" s="72"/>
      <c r="L36" s="72">
        <v>13.9</v>
      </c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>
        <v>3.1</v>
      </c>
      <c r="X36" s="72"/>
      <c r="Y36" s="72"/>
      <c r="Z36" s="72"/>
      <c r="AA36" s="72"/>
      <c r="AB36" s="72"/>
      <c r="AC36" s="72"/>
      <c r="AD36" s="72"/>
      <c r="AE36" s="72"/>
      <c r="AF36" s="72"/>
      <c r="AG36" s="72">
        <f t="shared" si="1"/>
        <v>17</v>
      </c>
      <c r="AH36" s="72">
        <f t="shared" si="6"/>
        <v>73.9</v>
      </c>
      <c r="AJ36" s="21"/>
    </row>
    <row r="37" spans="1:36" s="18" customFormat="1" ht="15.75" hidden="1">
      <c r="A37" s="98" t="s">
        <v>16</v>
      </c>
      <c r="B37" s="97"/>
      <c r="C37" s="97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>
        <f t="shared" si="1"/>
        <v>0</v>
      </c>
      <c r="AH37" s="72">
        <f t="shared" si="6"/>
        <v>0</v>
      </c>
      <c r="AJ37" s="21"/>
    </row>
    <row r="38" spans="1:36" s="18" customFormat="1" ht="15.75" hidden="1">
      <c r="A38" s="98" t="s">
        <v>15</v>
      </c>
      <c r="B38" s="97"/>
      <c r="C38" s="97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>
        <f t="shared" si="1"/>
        <v>0</v>
      </c>
      <c r="AH38" s="72">
        <f t="shared" si="6"/>
        <v>0</v>
      </c>
      <c r="AJ38" s="21"/>
    </row>
    <row r="39" spans="1:36" s="18" customFormat="1" ht="15.75">
      <c r="A39" s="98" t="s">
        <v>23</v>
      </c>
      <c r="B39" s="97">
        <f aca="true" t="shared" si="7" ref="B39:AE39">B33-B34-B36-B38-B37-B35</f>
        <v>118.89999999999998</v>
      </c>
      <c r="C39" s="97">
        <v>79.60000000000016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>H33-H34-H36-H38-H37-H35</f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0.9999999999999982</v>
      </c>
      <c r="M39" s="72">
        <f t="shared" si="7"/>
        <v>0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61.5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23.800000000000004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>
        <f t="shared" si="7"/>
        <v>0</v>
      </c>
      <c r="AF39" s="72"/>
      <c r="AG39" s="72">
        <f t="shared" si="1"/>
        <v>86.30000000000001</v>
      </c>
      <c r="AH39" s="72">
        <f>AH33-AH34-AH36-AH38-AH35-AH37</f>
        <v>112.20000000000016</v>
      </c>
      <c r="AJ39" s="21"/>
    </row>
    <row r="40" spans="1:36" s="18" customFormat="1" ht="15" customHeight="1">
      <c r="A40" s="96" t="s">
        <v>29</v>
      </c>
      <c r="B40" s="97">
        <v>1395.3</v>
      </c>
      <c r="C40" s="97">
        <v>312.10000000000036</v>
      </c>
      <c r="D40" s="72"/>
      <c r="E40" s="72"/>
      <c r="F40" s="72"/>
      <c r="G40" s="72"/>
      <c r="H40" s="72"/>
      <c r="I40" s="72">
        <v>402.3</v>
      </c>
      <c r="J40" s="72">
        <v>20.1</v>
      </c>
      <c r="K40" s="72"/>
      <c r="L40" s="72"/>
      <c r="M40" s="72">
        <v>0.2</v>
      </c>
      <c r="N40" s="72">
        <v>4.4</v>
      </c>
      <c r="O40" s="72">
        <v>30.8</v>
      </c>
      <c r="P40" s="72"/>
      <c r="Q40" s="72"/>
      <c r="R40" s="72"/>
      <c r="S40" s="72"/>
      <c r="T40" s="72"/>
      <c r="U40" s="72"/>
      <c r="V40" s="72">
        <v>63.8</v>
      </c>
      <c r="W40" s="72">
        <v>859.4</v>
      </c>
      <c r="X40" s="72"/>
      <c r="Y40" s="72"/>
      <c r="Z40" s="72"/>
      <c r="AA40" s="72"/>
      <c r="AB40" s="72"/>
      <c r="AC40" s="72"/>
      <c r="AD40" s="72"/>
      <c r="AE40" s="72"/>
      <c r="AF40" s="72"/>
      <c r="AG40" s="72">
        <f t="shared" si="1"/>
        <v>1381</v>
      </c>
      <c r="AH40" s="72">
        <f aca="true" t="shared" si="8" ref="AH40:AH45">B40+C40-AG40</f>
        <v>326.4000000000003</v>
      </c>
      <c r="AJ40" s="21"/>
    </row>
    <row r="41" spans="1:36" s="18" customFormat="1" ht="15.75">
      <c r="A41" s="98" t="s">
        <v>5</v>
      </c>
      <c r="B41" s="97">
        <f>1276.6-0.2</f>
        <v>1276.3999999999999</v>
      </c>
      <c r="C41" s="97">
        <v>125.59999999999991</v>
      </c>
      <c r="D41" s="72"/>
      <c r="E41" s="72"/>
      <c r="F41" s="72"/>
      <c r="G41" s="72"/>
      <c r="H41" s="72"/>
      <c r="I41" s="72">
        <v>383.6</v>
      </c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>
        <v>7</v>
      </c>
      <c r="W41" s="72">
        <v>859.2</v>
      </c>
      <c r="X41" s="72"/>
      <c r="Y41" s="72"/>
      <c r="Z41" s="72"/>
      <c r="AA41" s="72"/>
      <c r="AB41" s="72"/>
      <c r="AC41" s="72"/>
      <c r="AD41" s="72"/>
      <c r="AE41" s="72"/>
      <c r="AF41" s="72"/>
      <c r="AG41" s="72">
        <f t="shared" si="1"/>
        <v>1249.8000000000002</v>
      </c>
      <c r="AH41" s="72">
        <f t="shared" si="8"/>
        <v>152.1999999999996</v>
      </c>
      <c r="AI41" s="21"/>
      <c r="AJ41" s="21"/>
    </row>
    <row r="42" spans="1:36" s="18" customFormat="1" ht="15.75">
      <c r="A42" s="98" t="s">
        <v>3</v>
      </c>
      <c r="B42" s="97">
        <v>0</v>
      </c>
      <c r="C42" s="97">
        <v>0.9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>
        <f t="shared" si="1"/>
        <v>0</v>
      </c>
      <c r="AH42" s="72">
        <f t="shared" si="8"/>
        <v>0.9</v>
      </c>
      <c r="AJ42" s="21"/>
    </row>
    <row r="43" spans="1:36" s="18" customFormat="1" ht="15.75">
      <c r="A43" s="98" t="s">
        <v>1</v>
      </c>
      <c r="B43" s="97">
        <v>10.8</v>
      </c>
      <c r="C43" s="97">
        <v>2.5000000000000018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>
        <v>9.5</v>
      </c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>
        <f t="shared" si="1"/>
        <v>9.5</v>
      </c>
      <c r="AH43" s="72">
        <f t="shared" si="8"/>
        <v>3.8000000000000025</v>
      </c>
      <c r="AJ43" s="21"/>
    </row>
    <row r="44" spans="1:36" s="18" customFormat="1" ht="15.75">
      <c r="A44" s="98" t="s">
        <v>2</v>
      </c>
      <c r="B44" s="97">
        <v>74.9</v>
      </c>
      <c r="C44" s="97">
        <v>174.30000000000004</v>
      </c>
      <c r="D44" s="72"/>
      <c r="E44" s="72"/>
      <c r="F44" s="72"/>
      <c r="G44" s="72"/>
      <c r="H44" s="72"/>
      <c r="I44" s="72">
        <v>11.6</v>
      </c>
      <c r="J44" s="72">
        <v>20.1</v>
      </c>
      <c r="K44" s="72"/>
      <c r="L44" s="72"/>
      <c r="M44" s="72">
        <v>0.2</v>
      </c>
      <c r="N44" s="72"/>
      <c r="O44" s="72"/>
      <c r="P44" s="72"/>
      <c r="Q44" s="72"/>
      <c r="R44" s="72"/>
      <c r="S44" s="72"/>
      <c r="T44" s="72"/>
      <c r="U44" s="72"/>
      <c r="V44" s="72">
        <v>56.8</v>
      </c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>
        <f t="shared" si="1"/>
        <v>88.7</v>
      </c>
      <c r="AH44" s="72">
        <f t="shared" si="8"/>
        <v>160.50000000000006</v>
      </c>
      <c r="AJ44" s="21"/>
    </row>
    <row r="45" spans="1:36" s="18" customFormat="1" ht="15.75" hidden="1">
      <c r="A45" s="98" t="s">
        <v>15</v>
      </c>
      <c r="B45" s="97"/>
      <c r="C45" s="97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>
        <f t="shared" si="1"/>
        <v>0</v>
      </c>
      <c r="AH45" s="72">
        <f t="shared" si="8"/>
        <v>0</v>
      </c>
      <c r="AJ45" s="21"/>
    </row>
    <row r="46" spans="1:36" s="18" customFormat="1" ht="15.75">
      <c r="A46" s="98" t="s">
        <v>23</v>
      </c>
      <c r="B46" s="97">
        <f aca="true" t="shared" si="9" ref="B46:AE46">B40-B41-B42-B43-B44-B45</f>
        <v>33.20000000000009</v>
      </c>
      <c r="C46" s="97">
        <v>8.80000000000041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>H40-H41-H42-H43-H44-H45</f>
        <v>0</v>
      </c>
      <c r="I46" s="72">
        <f t="shared" si="9"/>
        <v>7.099999999999989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0</v>
      </c>
      <c r="N46" s="72">
        <f t="shared" si="9"/>
        <v>4.4</v>
      </c>
      <c r="O46" s="72">
        <f t="shared" si="9"/>
        <v>21.3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0.1999999999999318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>
        <f t="shared" si="9"/>
        <v>0</v>
      </c>
      <c r="AF46" s="72"/>
      <c r="AG46" s="72">
        <f t="shared" si="1"/>
        <v>32.99999999999992</v>
      </c>
      <c r="AH46" s="72">
        <f>AH40-AH41-AH42-AH43-AH44-AH45</f>
        <v>9.000000000000654</v>
      </c>
      <c r="AJ46" s="21"/>
    </row>
    <row r="47" spans="1:36" s="18" customFormat="1" ht="17.25" customHeight="1">
      <c r="A47" s="96" t="s">
        <v>43</v>
      </c>
      <c r="B47" s="99">
        <f>6656.1-61.7-2400</f>
        <v>4194.400000000001</v>
      </c>
      <c r="C47" s="97">
        <f>3586.9+100</f>
        <v>3686.9</v>
      </c>
      <c r="D47" s="72"/>
      <c r="E47" s="80">
        <v>0</v>
      </c>
      <c r="F47" s="80">
        <v>11</v>
      </c>
      <c r="G47" s="80">
        <v>256</v>
      </c>
      <c r="H47" s="80">
        <v>1932.3</v>
      </c>
      <c r="I47" s="80">
        <v>55.7</v>
      </c>
      <c r="J47" s="80">
        <v>89.6</v>
      </c>
      <c r="K47" s="80"/>
      <c r="L47" s="80">
        <v>226.4</v>
      </c>
      <c r="M47" s="80">
        <v>270.6</v>
      </c>
      <c r="N47" s="80">
        <v>59.6</v>
      </c>
      <c r="O47" s="80">
        <v>10</v>
      </c>
      <c r="P47" s="80">
        <v>1805.8</v>
      </c>
      <c r="Q47" s="80">
        <v>11.7</v>
      </c>
      <c r="R47" s="80">
        <v>1.4</v>
      </c>
      <c r="S47" s="80">
        <v>98.5</v>
      </c>
      <c r="T47" s="80">
        <v>184.6</v>
      </c>
      <c r="U47" s="80">
        <v>37.9</v>
      </c>
      <c r="V47" s="80">
        <v>396.2</v>
      </c>
      <c r="W47" s="80">
        <v>274.1</v>
      </c>
      <c r="X47" s="80">
        <v>56.2</v>
      </c>
      <c r="Y47" s="80">
        <v>2</v>
      </c>
      <c r="Z47" s="80"/>
      <c r="AA47" s="80"/>
      <c r="AB47" s="80"/>
      <c r="AC47" s="80"/>
      <c r="AD47" s="80"/>
      <c r="AE47" s="80"/>
      <c r="AF47" s="80"/>
      <c r="AG47" s="72">
        <f t="shared" si="1"/>
        <v>5779.599999999999</v>
      </c>
      <c r="AH47" s="72">
        <f>B47+C47-AG47</f>
        <v>2101.7000000000016</v>
      </c>
      <c r="AJ47" s="21"/>
    </row>
    <row r="48" spans="1:36" s="18" customFormat="1" ht="15.75">
      <c r="A48" s="98" t="s">
        <v>5</v>
      </c>
      <c r="B48" s="97">
        <f>1640-B34-B41-0.4</f>
        <v>54.30000000000005</v>
      </c>
      <c r="C48" s="97">
        <v>89.5</v>
      </c>
      <c r="D48" s="72"/>
      <c r="E48" s="80"/>
      <c r="F48" s="80"/>
      <c r="G48" s="80"/>
      <c r="H48" s="80"/>
      <c r="I48" s="80"/>
      <c r="J48" s="80"/>
      <c r="K48" s="80"/>
      <c r="L48" s="80">
        <v>40.4</v>
      </c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6</v>
      </c>
      <c r="Y48" s="80"/>
      <c r="Z48" s="80"/>
      <c r="AA48" s="80"/>
      <c r="AB48" s="80"/>
      <c r="AC48" s="80"/>
      <c r="AD48" s="80"/>
      <c r="AE48" s="80"/>
      <c r="AF48" s="80"/>
      <c r="AG48" s="72">
        <f t="shared" si="1"/>
        <v>46.4</v>
      </c>
      <c r="AH48" s="72">
        <f>B48+C48-AG48</f>
        <v>97.40000000000003</v>
      </c>
      <c r="AJ48" s="21"/>
    </row>
    <row r="49" spans="1:36" s="18" customFormat="1" ht="15.75">
      <c r="A49" s="98" t="s">
        <v>16</v>
      </c>
      <c r="B49" s="97">
        <f>5749.5-0.2-61.7-1500</f>
        <v>4187.6</v>
      </c>
      <c r="C49" s="97">
        <v>1910.300000000001</v>
      </c>
      <c r="D49" s="72"/>
      <c r="E49" s="72"/>
      <c r="F49" s="72"/>
      <c r="G49" s="72">
        <v>235.8</v>
      </c>
      <c r="H49" s="72">
        <v>1919</v>
      </c>
      <c r="I49" s="72">
        <v>31.6</v>
      </c>
      <c r="J49" s="72"/>
      <c r="K49" s="72"/>
      <c r="L49" s="72">
        <v>186</v>
      </c>
      <c r="M49" s="72">
        <v>56.4</v>
      </c>
      <c r="N49" s="72">
        <v>59.6</v>
      </c>
      <c r="O49" s="72">
        <v>10</v>
      </c>
      <c r="P49" s="72">
        <v>1790.4</v>
      </c>
      <c r="Q49" s="72">
        <v>11.7</v>
      </c>
      <c r="R49" s="72">
        <v>1.4</v>
      </c>
      <c r="S49" s="72">
        <v>98.5</v>
      </c>
      <c r="T49" s="72">
        <v>100</v>
      </c>
      <c r="U49" s="72"/>
      <c r="V49" s="72">
        <f>37.4+50</f>
        <v>87.4</v>
      </c>
      <c r="W49" s="72">
        <f>5.4+174+11</f>
        <v>190.4</v>
      </c>
      <c r="X49" s="72">
        <v>50.2</v>
      </c>
      <c r="Y49" s="72">
        <v>2</v>
      </c>
      <c r="Z49" s="72"/>
      <c r="AA49" s="72"/>
      <c r="AB49" s="72"/>
      <c r="AC49" s="72"/>
      <c r="AD49" s="72"/>
      <c r="AE49" s="72"/>
      <c r="AF49" s="72"/>
      <c r="AG49" s="72">
        <f t="shared" si="1"/>
        <v>4830.399999999999</v>
      </c>
      <c r="AH49" s="72">
        <f>B49+C49-AG49</f>
        <v>1267.5000000000027</v>
      </c>
      <c r="AJ49" s="21"/>
    </row>
    <row r="50" spans="1:36" s="18" customFormat="1" ht="30" hidden="1">
      <c r="A50" s="106" t="s">
        <v>34</v>
      </c>
      <c r="B50" s="97"/>
      <c r="C50" s="97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>
        <f t="shared" si="1"/>
        <v>0</v>
      </c>
      <c r="AH50" s="72">
        <f>B50+C50-AG50</f>
        <v>0</v>
      </c>
      <c r="AJ50" s="21"/>
    </row>
    <row r="51" spans="1:36" s="18" customFormat="1" ht="15.75">
      <c r="A51" s="107" t="s">
        <v>23</v>
      </c>
      <c r="B51" s="97">
        <f aca="true" t="shared" si="10" ref="B51:AE51">B47-B48-B49</f>
        <v>-47.5</v>
      </c>
      <c r="C51" s="97">
        <v>1587.1000000000013</v>
      </c>
      <c r="D51" s="72">
        <f t="shared" si="10"/>
        <v>0</v>
      </c>
      <c r="E51" s="72">
        <f t="shared" si="10"/>
        <v>0</v>
      </c>
      <c r="F51" s="72">
        <f t="shared" si="10"/>
        <v>11</v>
      </c>
      <c r="G51" s="72">
        <f t="shared" si="10"/>
        <v>20.19999999999999</v>
      </c>
      <c r="H51" s="72">
        <f>H47-H48-H49</f>
        <v>13.299999999999955</v>
      </c>
      <c r="I51" s="72">
        <f t="shared" si="10"/>
        <v>24.1</v>
      </c>
      <c r="J51" s="72">
        <f t="shared" si="10"/>
        <v>89.6</v>
      </c>
      <c r="K51" s="72">
        <f t="shared" si="10"/>
        <v>0</v>
      </c>
      <c r="L51" s="72">
        <f t="shared" si="10"/>
        <v>0</v>
      </c>
      <c r="M51" s="72">
        <f t="shared" si="10"/>
        <v>214.20000000000002</v>
      </c>
      <c r="N51" s="72">
        <f t="shared" si="10"/>
        <v>0</v>
      </c>
      <c r="O51" s="72">
        <f t="shared" si="10"/>
        <v>0</v>
      </c>
      <c r="P51" s="72">
        <f t="shared" si="10"/>
        <v>15.399999999999864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84.6</v>
      </c>
      <c r="U51" s="72">
        <f t="shared" si="10"/>
        <v>37.9</v>
      </c>
      <c r="V51" s="72">
        <f t="shared" si="10"/>
        <v>308.79999999999995</v>
      </c>
      <c r="W51" s="72">
        <f t="shared" si="10"/>
        <v>83.70000000000002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>
        <f t="shared" si="10"/>
        <v>0</v>
      </c>
      <c r="AF51" s="72"/>
      <c r="AG51" s="72">
        <f t="shared" si="1"/>
        <v>902.7999999999998</v>
      </c>
      <c r="AH51" s="72">
        <f>AH47-AH49-AH48</f>
        <v>736.7999999999988</v>
      </c>
      <c r="AJ51" s="21"/>
    </row>
    <row r="52" spans="1:36" s="18" customFormat="1" ht="15" customHeight="1">
      <c r="A52" s="96" t="s">
        <v>0</v>
      </c>
      <c r="B52" s="97">
        <f>8905-49.5-900-1300-81+718+90</f>
        <v>7382.5</v>
      </c>
      <c r="C52" s="97">
        <v>4215.599999999995</v>
      </c>
      <c r="D52" s="72"/>
      <c r="E52" s="72">
        <v>0</v>
      </c>
      <c r="F52" s="72">
        <v>1033.7</v>
      </c>
      <c r="G52" s="72">
        <v>299</v>
      </c>
      <c r="H52" s="72">
        <v>788.3</v>
      </c>
      <c r="I52" s="72">
        <v>504</v>
      </c>
      <c r="J52" s="72">
        <v>976.5</v>
      </c>
      <c r="K52" s="72">
        <v>145.6</v>
      </c>
      <c r="L52" s="72">
        <v>720.1</v>
      </c>
      <c r="M52" s="72">
        <v>36.3</v>
      </c>
      <c r="N52" s="72">
        <v>55.7</v>
      </c>
      <c r="O52" s="72"/>
      <c r="P52" s="72">
        <v>1776.3</v>
      </c>
      <c r="Q52" s="72">
        <v>7.4</v>
      </c>
      <c r="R52" s="72">
        <v>3</v>
      </c>
      <c r="S52" s="72"/>
      <c r="T52" s="72">
        <v>1416.6</v>
      </c>
      <c r="U52" s="72"/>
      <c r="V52" s="72">
        <v>988.8</v>
      </c>
      <c r="W52" s="72">
        <v>825.3</v>
      </c>
      <c r="X52" s="72"/>
      <c r="Y52" s="72"/>
      <c r="Z52" s="72"/>
      <c r="AA52" s="72"/>
      <c r="AB52" s="72"/>
      <c r="AC52" s="72"/>
      <c r="AD52" s="72"/>
      <c r="AE52" s="72"/>
      <c r="AF52" s="72"/>
      <c r="AG52" s="72">
        <f t="shared" si="1"/>
        <v>9576.599999999999</v>
      </c>
      <c r="AH52" s="72">
        <f aca="true" t="shared" si="11" ref="AH52:AH59">B52+C52-AG52</f>
        <v>2021.4999999999964</v>
      </c>
      <c r="AJ52" s="21"/>
    </row>
    <row r="53" spans="1:36" s="18" customFormat="1" ht="15" customHeight="1">
      <c r="A53" s="98" t="s">
        <v>2</v>
      </c>
      <c r="B53" s="97">
        <f>1178.5-600</f>
        <v>578.5</v>
      </c>
      <c r="C53" s="97">
        <v>1234.2999999999997</v>
      </c>
      <c r="D53" s="72"/>
      <c r="E53" s="72">
        <v>0</v>
      </c>
      <c r="F53" s="72">
        <v>1033.7</v>
      </c>
      <c r="G53" s="72"/>
      <c r="H53" s="72"/>
      <c r="I53" s="72"/>
      <c r="J53" s="72">
        <v>0.3</v>
      </c>
      <c r="K53" s="72"/>
      <c r="L53" s="72">
        <v>164.7</v>
      </c>
      <c r="M53" s="72"/>
      <c r="N53" s="72"/>
      <c r="O53" s="72"/>
      <c r="P53" s="72"/>
      <c r="Q53" s="72"/>
      <c r="R53" s="72"/>
      <c r="S53" s="72"/>
      <c r="T53" s="72">
        <v>461.5</v>
      </c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>
        <f t="shared" si="1"/>
        <v>1660.2</v>
      </c>
      <c r="AH53" s="72">
        <f t="shared" si="11"/>
        <v>152.59999999999968</v>
      </c>
      <c r="AJ53" s="21"/>
    </row>
    <row r="54" spans="1:36" s="18" customFormat="1" ht="15" customHeight="1">
      <c r="A54" s="96" t="s">
        <v>9</v>
      </c>
      <c r="B54" s="105">
        <v>2621.8</v>
      </c>
      <c r="C54" s="97">
        <v>946.4999999999995</v>
      </c>
      <c r="D54" s="72"/>
      <c r="E54" s="72"/>
      <c r="F54" s="72">
        <v>185.8</v>
      </c>
      <c r="G54" s="72"/>
      <c r="H54" s="72">
        <v>167.7</v>
      </c>
      <c r="I54" s="72">
        <v>21.7</v>
      </c>
      <c r="J54" s="72"/>
      <c r="K54" s="72">
        <v>135.6</v>
      </c>
      <c r="L54" s="72">
        <v>509</v>
      </c>
      <c r="M54" s="72">
        <v>5.2</v>
      </c>
      <c r="N54" s="72">
        <v>212.9</v>
      </c>
      <c r="O54" s="72"/>
      <c r="P54" s="72">
        <v>78.3</v>
      </c>
      <c r="Q54" s="72"/>
      <c r="R54" s="72">
        <v>42</v>
      </c>
      <c r="S54" s="72">
        <v>36.8</v>
      </c>
      <c r="T54" s="72"/>
      <c r="U54" s="72">
        <v>20.7</v>
      </c>
      <c r="V54" s="72">
        <v>245.8</v>
      </c>
      <c r="W54" s="72">
        <v>658.7</v>
      </c>
      <c r="X54" s="72">
        <v>30.6</v>
      </c>
      <c r="Y54" s="72"/>
      <c r="Z54" s="72">
        <v>7</v>
      </c>
      <c r="AA54" s="72"/>
      <c r="AB54" s="72"/>
      <c r="AC54" s="72"/>
      <c r="AD54" s="72"/>
      <c r="AE54" s="72"/>
      <c r="AF54" s="72"/>
      <c r="AG54" s="72">
        <f t="shared" si="1"/>
        <v>2357.7999999999997</v>
      </c>
      <c r="AH54" s="72">
        <f t="shared" si="11"/>
        <v>1210.5</v>
      </c>
      <c r="AI54" s="21"/>
      <c r="AJ54" s="21"/>
    </row>
    <row r="55" spans="1:36" s="18" customFormat="1" ht="15.75">
      <c r="A55" s="98" t="s">
        <v>5</v>
      </c>
      <c r="B55" s="97">
        <f>1249-0.1</f>
        <v>1248.9</v>
      </c>
      <c r="C55" s="97">
        <v>285.39999999999986</v>
      </c>
      <c r="D55" s="72"/>
      <c r="E55" s="72"/>
      <c r="F55" s="72"/>
      <c r="G55" s="72"/>
      <c r="H55" s="72"/>
      <c r="I55" s="72">
        <v>14.3</v>
      </c>
      <c r="J55" s="72"/>
      <c r="K55" s="72">
        <v>100.6</v>
      </c>
      <c r="L55" s="72">
        <v>400.5</v>
      </c>
      <c r="M55" s="72"/>
      <c r="N55" s="72"/>
      <c r="O55" s="72"/>
      <c r="P55" s="72"/>
      <c r="Q55" s="72"/>
      <c r="R55" s="72"/>
      <c r="S55" s="72"/>
      <c r="T55" s="72"/>
      <c r="U55" s="72"/>
      <c r="V55" s="72">
        <v>180.4</v>
      </c>
      <c r="W55" s="72">
        <v>615.1</v>
      </c>
      <c r="X55" s="72"/>
      <c r="Y55" s="72"/>
      <c r="Z55" s="72"/>
      <c r="AA55" s="72"/>
      <c r="AB55" s="72"/>
      <c r="AC55" s="72"/>
      <c r="AD55" s="72"/>
      <c r="AE55" s="72"/>
      <c r="AF55" s="72"/>
      <c r="AG55" s="72">
        <f t="shared" si="1"/>
        <v>1310.9</v>
      </c>
      <c r="AH55" s="72">
        <f t="shared" si="11"/>
        <v>223.39999999999986</v>
      </c>
      <c r="AI55" s="21"/>
      <c r="AJ55" s="21"/>
    </row>
    <row r="56" spans="1:36" s="18" customFormat="1" ht="15" customHeight="1">
      <c r="A56" s="98" t="s">
        <v>1</v>
      </c>
      <c r="B56" s="97">
        <f>27.5+2.6</f>
        <v>30.1</v>
      </c>
      <c r="C56" s="97">
        <v>0</v>
      </c>
      <c r="D56" s="72"/>
      <c r="E56" s="72"/>
      <c r="F56" s="72"/>
      <c r="G56" s="72"/>
      <c r="H56" s="72"/>
      <c r="I56" s="72"/>
      <c r="J56" s="72"/>
      <c r="K56" s="72">
        <v>26.2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>
        <v>3.9</v>
      </c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>
        <f t="shared" si="1"/>
        <v>30.099999999999998</v>
      </c>
      <c r="AH56" s="72">
        <f t="shared" si="11"/>
        <v>0</v>
      </c>
      <c r="AI56" s="21"/>
      <c r="AJ56" s="21"/>
    </row>
    <row r="57" spans="1:36" s="18" customFormat="1" ht="15.75">
      <c r="A57" s="98" t="s">
        <v>2</v>
      </c>
      <c r="B57" s="99">
        <v>20.4</v>
      </c>
      <c r="C57" s="97">
        <v>265.99999999999994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>
        <v>12.2</v>
      </c>
      <c r="S57" s="72">
        <v>25.8</v>
      </c>
      <c r="T57" s="72"/>
      <c r="U57" s="72"/>
      <c r="V57" s="72">
        <v>7.1</v>
      </c>
      <c r="W57" s="72">
        <v>2.1</v>
      </c>
      <c r="X57" s="72"/>
      <c r="Y57" s="72"/>
      <c r="Z57" s="72"/>
      <c r="AA57" s="72"/>
      <c r="AB57" s="72"/>
      <c r="AC57" s="72"/>
      <c r="AD57" s="72"/>
      <c r="AE57" s="72"/>
      <c r="AF57" s="72"/>
      <c r="AG57" s="72">
        <f t="shared" si="1"/>
        <v>47.2</v>
      </c>
      <c r="AH57" s="72">
        <f t="shared" si="11"/>
        <v>239.19999999999993</v>
      </c>
      <c r="AJ57" s="21"/>
    </row>
    <row r="58" spans="1:36" s="18" customFormat="1" ht="15.75">
      <c r="A58" s="98" t="s">
        <v>16</v>
      </c>
      <c r="B58" s="99">
        <f>36.8-7</f>
        <v>29.799999999999997</v>
      </c>
      <c r="C58" s="97">
        <v>25.699999999999996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>
        <f t="shared" si="1"/>
        <v>0</v>
      </c>
      <c r="AH58" s="72">
        <f t="shared" si="11"/>
        <v>55.49999999999999</v>
      </c>
      <c r="AJ58" s="21"/>
    </row>
    <row r="59" spans="1:36" s="18" customFormat="1" ht="15.75" hidden="1">
      <c r="A59" s="98" t="s">
        <v>15</v>
      </c>
      <c r="B59" s="97"/>
      <c r="C59" s="97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>
        <f t="shared" si="1"/>
        <v>0</v>
      </c>
      <c r="AH59" s="72">
        <f t="shared" si="11"/>
        <v>0</v>
      </c>
      <c r="AJ59" s="21"/>
    </row>
    <row r="60" spans="1:36" s="18" customFormat="1" ht="15.75">
      <c r="A60" s="98" t="s">
        <v>23</v>
      </c>
      <c r="B60" s="97">
        <f aca="true" t="shared" si="12" ref="B60:AE60">B54-B55-B57-B59-B56-B58</f>
        <v>1292.6000000000001</v>
      </c>
      <c r="C60" s="97">
        <v>369.39999999999975</v>
      </c>
      <c r="D60" s="72">
        <f t="shared" si="12"/>
        <v>0</v>
      </c>
      <c r="E60" s="72">
        <f t="shared" si="12"/>
        <v>0</v>
      </c>
      <c r="F60" s="72">
        <f t="shared" si="12"/>
        <v>185.8</v>
      </c>
      <c r="G60" s="72">
        <f t="shared" si="12"/>
        <v>0</v>
      </c>
      <c r="H60" s="72">
        <f>H54-H55-H57-H59-H56-H58</f>
        <v>167.7</v>
      </c>
      <c r="I60" s="72">
        <f t="shared" si="12"/>
        <v>7.399999999999999</v>
      </c>
      <c r="J60" s="72">
        <f t="shared" si="12"/>
        <v>0</v>
      </c>
      <c r="K60" s="72">
        <f t="shared" si="12"/>
        <v>8.8</v>
      </c>
      <c r="L60" s="72">
        <f t="shared" si="12"/>
        <v>108.5</v>
      </c>
      <c r="M60" s="72">
        <f t="shared" si="12"/>
        <v>5.2</v>
      </c>
      <c r="N60" s="72">
        <f t="shared" si="12"/>
        <v>212.9</v>
      </c>
      <c r="O60" s="72">
        <f t="shared" si="12"/>
        <v>0</v>
      </c>
      <c r="P60" s="72">
        <f t="shared" si="12"/>
        <v>78.3</v>
      </c>
      <c r="Q60" s="72">
        <f t="shared" si="12"/>
        <v>0</v>
      </c>
      <c r="R60" s="72">
        <f t="shared" si="12"/>
        <v>29.8</v>
      </c>
      <c r="S60" s="72">
        <f t="shared" si="12"/>
        <v>10.999999999999996</v>
      </c>
      <c r="T60" s="72">
        <f t="shared" si="12"/>
        <v>0</v>
      </c>
      <c r="U60" s="72">
        <f t="shared" si="12"/>
        <v>20.7</v>
      </c>
      <c r="V60" s="72">
        <f t="shared" si="12"/>
        <v>54.400000000000006</v>
      </c>
      <c r="W60" s="72">
        <f t="shared" si="12"/>
        <v>41.50000000000002</v>
      </c>
      <c r="X60" s="72">
        <f t="shared" si="12"/>
        <v>30.6</v>
      </c>
      <c r="Y60" s="72">
        <f t="shared" si="12"/>
        <v>0</v>
      </c>
      <c r="Z60" s="72">
        <f t="shared" si="12"/>
        <v>7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>
        <f t="shared" si="12"/>
        <v>0</v>
      </c>
      <c r="AF60" s="72"/>
      <c r="AG60" s="72">
        <f>AG54-AG55-AG57-AG59-AG56-AG58</f>
        <v>969.5999999999996</v>
      </c>
      <c r="AH60" s="72">
        <f>AH54-AH55-AH57-AH59-AH56-AH58</f>
        <v>692.4000000000002</v>
      </c>
      <c r="AJ60" s="21"/>
    </row>
    <row r="61" spans="1:36" s="18" customFormat="1" ht="15" customHeight="1">
      <c r="A61" s="96" t="s">
        <v>10</v>
      </c>
      <c r="B61" s="97">
        <v>88.9</v>
      </c>
      <c r="C61" s="97">
        <v>59.8</v>
      </c>
      <c r="D61" s="72"/>
      <c r="E61" s="72"/>
      <c r="F61" s="72"/>
      <c r="G61" s="72"/>
      <c r="H61" s="72"/>
      <c r="I61" s="72">
        <v>10</v>
      </c>
      <c r="J61" s="72"/>
      <c r="K61" s="72"/>
      <c r="L61" s="72">
        <v>10.1</v>
      </c>
      <c r="M61" s="72">
        <v>18.6</v>
      </c>
      <c r="N61" s="72"/>
      <c r="O61" s="72"/>
      <c r="P61" s="72"/>
      <c r="Q61" s="72">
        <v>9</v>
      </c>
      <c r="R61" s="72">
        <v>50.3</v>
      </c>
      <c r="S61" s="72"/>
      <c r="T61" s="72">
        <v>7</v>
      </c>
      <c r="U61" s="72">
        <v>2</v>
      </c>
      <c r="V61" s="72"/>
      <c r="W61" s="72"/>
      <c r="X61" s="72">
        <v>8</v>
      </c>
      <c r="Y61" s="72"/>
      <c r="Z61" s="72"/>
      <c r="AA61" s="72"/>
      <c r="AB61" s="72"/>
      <c r="AC61" s="72"/>
      <c r="AD61" s="72"/>
      <c r="AE61" s="72"/>
      <c r="AF61" s="72"/>
      <c r="AG61" s="72">
        <f aca="true" t="shared" si="13" ref="AG61:AG92">SUM(D61:AE61)</f>
        <v>115</v>
      </c>
      <c r="AH61" s="72">
        <f aca="true" t="shared" si="14" ref="AH61:AH67">B61+C61-AG61</f>
        <v>33.69999999999999</v>
      </c>
      <c r="AJ61" s="21"/>
    </row>
    <row r="62" spans="1:36" s="18" customFormat="1" ht="15" customHeight="1">
      <c r="A62" s="96" t="s">
        <v>11</v>
      </c>
      <c r="B62" s="97">
        <f>4807.6-0.1</f>
        <v>4807.5</v>
      </c>
      <c r="C62" s="97">
        <v>4831.4</v>
      </c>
      <c r="D62" s="72"/>
      <c r="E62" s="72"/>
      <c r="F62" s="72"/>
      <c r="G62" s="72">
        <f>111.2+0.9</f>
        <v>112.10000000000001</v>
      </c>
      <c r="H62" s="72"/>
      <c r="I62" s="72">
        <v>17.3</v>
      </c>
      <c r="J62" s="72">
        <v>739.5</v>
      </c>
      <c r="K62" s="72">
        <v>444.4</v>
      </c>
      <c r="L62" s="72">
        <v>20.9</v>
      </c>
      <c r="M62" s="72">
        <v>23.9</v>
      </c>
      <c r="N62" s="72"/>
      <c r="O62" s="72"/>
      <c r="P62" s="72">
        <v>170.6</v>
      </c>
      <c r="Q62" s="72">
        <v>0.2</v>
      </c>
      <c r="R62" s="72"/>
      <c r="S62" s="72">
        <v>2.6</v>
      </c>
      <c r="T62" s="72">
        <v>429.3</v>
      </c>
      <c r="U62" s="72"/>
      <c r="V62" s="72">
        <v>1723.7</v>
      </c>
      <c r="W62" s="72">
        <f>269.1-0.2</f>
        <v>268.90000000000003</v>
      </c>
      <c r="X62" s="72">
        <v>25.4</v>
      </c>
      <c r="Y62" s="72">
        <f>5.4+97.7</f>
        <v>103.10000000000001</v>
      </c>
      <c r="Z62" s="72"/>
      <c r="AA62" s="72"/>
      <c r="AB62" s="72"/>
      <c r="AC62" s="72"/>
      <c r="AD62" s="72"/>
      <c r="AE62" s="72"/>
      <c r="AF62" s="72"/>
      <c r="AG62" s="72">
        <f t="shared" si="13"/>
        <v>4081.9</v>
      </c>
      <c r="AH62" s="72">
        <f t="shared" si="14"/>
        <v>5557</v>
      </c>
      <c r="AJ62" s="21"/>
    </row>
    <row r="63" spans="1:36" s="18" customFormat="1" ht="15.75">
      <c r="A63" s="98" t="s">
        <v>5</v>
      </c>
      <c r="B63" s="97">
        <v>2514</v>
      </c>
      <c r="C63" s="97">
        <v>1047</v>
      </c>
      <c r="D63" s="72"/>
      <c r="E63" s="72"/>
      <c r="F63" s="72"/>
      <c r="G63" s="72"/>
      <c r="H63" s="72"/>
      <c r="I63" s="72">
        <v>17.3</v>
      </c>
      <c r="J63" s="72">
        <v>739.5</v>
      </c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>
        <v>1432.2</v>
      </c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>
        <f t="shared" si="13"/>
        <v>2189</v>
      </c>
      <c r="AH63" s="72">
        <f t="shared" si="14"/>
        <v>1372</v>
      </c>
      <c r="AI63" s="108"/>
      <c r="AJ63" s="21"/>
    </row>
    <row r="64" spans="1:36" s="18" customFormat="1" ht="15.75" hidden="1">
      <c r="A64" s="98" t="s">
        <v>3</v>
      </c>
      <c r="B64" s="97"/>
      <c r="C64" s="97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>
        <f t="shared" si="13"/>
        <v>0</v>
      </c>
      <c r="AH64" s="72">
        <f t="shared" si="14"/>
        <v>0</v>
      </c>
      <c r="AI64" s="21"/>
      <c r="AJ64" s="21"/>
    </row>
    <row r="65" spans="1:36" s="18" customFormat="1" ht="15.75">
      <c r="A65" s="98" t="s">
        <v>1</v>
      </c>
      <c r="B65" s="97">
        <f>377.8+0.1-3.1</f>
        <v>374.8</v>
      </c>
      <c r="C65" s="97">
        <v>569.9000000000001</v>
      </c>
      <c r="D65" s="72"/>
      <c r="E65" s="72"/>
      <c r="F65" s="72"/>
      <c r="G65" s="72"/>
      <c r="H65" s="72"/>
      <c r="I65" s="72"/>
      <c r="J65" s="72"/>
      <c r="K65" s="72">
        <v>84</v>
      </c>
      <c r="L65" s="72">
        <v>7.3</v>
      </c>
      <c r="M65" s="72"/>
      <c r="N65" s="72"/>
      <c r="O65" s="72"/>
      <c r="P65" s="72">
        <v>8.9</v>
      </c>
      <c r="Q65" s="72">
        <v>0.2</v>
      </c>
      <c r="R65" s="72"/>
      <c r="S65" s="72"/>
      <c r="T65" s="72">
        <v>110.8</v>
      </c>
      <c r="U65" s="72"/>
      <c r="V65" s="72"/>
      <c r="W65" s="72">
        <f>122.9-0.1</f>
        <v>122.80000000000001</v>
      </c>
      <c r="X65" s="72"/>
      <c r="Y65" s="72">
        <v>5.4</v>
      </c>
      <c r="Z65" s="72"/>
      <c r="AA65" s="72"/>
      <c r="AB65" s="72"/>
      <c r="AC65" s="72"/>
      <c r="AD65" s="72"/>
      <c r="AE65" s="72"/>
      <c r="AF65" s="72"/>
      <c r="AG65" s="72">
        <f t="shared" si="13"/>
        <v>339.4</v>
      </c>
      <c r="AH65" s="72">
        <f t="shared" si="14"/>
        <v>605.3000000000001</v>
      </c>
      <c r="AI65" s="21"/>
      <c r="AJ65" s="21"/>
    </row>
    <row r="66" spans="1:36" s="18" customFormat="1" ht="15.75">
      <c r="A66" s="98" t="s">
        <v>2</v>
      </c>
      <c r="B66" s="97">
        <f>50.6+1.1</f>
        <v>51.7</v>
      </c>
      <c r="C66" s="97">
        <f>139.5+3.7</f>
        <v>143.2</v>
      </c>
      <c r="D66" s="72"/>
      <c r="E66" s="72"/>
      <c r="F66" s="72"/>
      <c r="G66" s="72">
        <f>23+1</f>
        <v>24</v>
      </c>
      <c r="H66" s="72"/>
      <c r="I66" s="72"/>
      <c r="J66" s="72"/>
      <c r="K66" s="72">
        <v>16.4</v>
      </c>
      <c r="L66" s="72"/>
      <c r="M66" s="72"/>
      <c r="N66" s="72"/>
      <c r="O66" s="72"/>
      <c r="P66" s="72">
        <v>1</v>
      </c>
      <c r="Q66" s="72"/>
      <c r="R66" s="72"/>
      <c r="S66" s="72"/>
      <c r="T66" s="72"/>
      <c r="U66" s="72"/>
      <c r="V66" s="72"/>
      <c r="W66" s="72">
        <v>37.3</v>
      </c>
      <c r="X66" s="72">
        <v>17.3</v>
      </c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95.99999999999999</v>
      </c>
      <c r="AH66" s="72">
        <f t="shared" si="14"/>
        <v>98.89999999999999</v>
      </c>
      <c r="AJ66" s="21"/>
    </row>
    <row r="67" spans="1:36" s="18" customFormat="1" ht="15.75">
      <c r="A67" s="98" t="s">
        <v>16</v>
      </c>
      <c r="B67" s="97">
        <v>68</v>
      </c>
      <c r="C67" s="97">
        <v>742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>
        <v>245</v>
      </c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565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1799.0000000000002</v>
      </c>
      <c r="C68" s="97">
        <v>2332.9999999999995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88.10000000000001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344</v>
      </c>
      <c r="L68" s="72">
        <f t="shared" si="15"/>
        <v>13.599999999999998</v>
      </c>
      <c r="M68" s="72">
        <f t="shared" si="15"/>
        <v>23.9</v>
      </c>
      <c r="N68" s="72">
        <f t="shared" si="15"/>
        <v>0</v>
      </c>
      <c r="O68" s="72">
        <f t="shared" si="15"/>
        <v>0</v>
      </c>
      <c r="P68" s="72">
        <f t="shared" si="15"/>
        <v>160.7</v>
      </c>
      <c r="Q68" s="72">
        <f t="shared" si="15"/>
        <v>0</v>
      </c>
      <c r="R68" s="72">
        <f t="shared" si="15"/>
        <v>0</v>
      </c>
      <c r="S68" s="72">
        <f t="shared" si="15"/>
        <v>2.6</v>
      </c>
      <c r="T68" s="72">
        <f t="shared" si="15"/>
        <v>73.50000000000001</v>
      </c>
      <c r="U68" s="72">
        <f t="shared" si="15"/>
        <v>0</v>
      </c>
      <c r="V68" s="72">
        <f t="shared" si="15"/>
        <v>291.5</v>
      </c>
      <c r="W68" s="72">
        <f t="shared" si="15"/>
        <v>108.80000000000001</v>
      </c>
      <c r="X68" s="72">
        <f t="shared" si="15"/>
        <v>8.099999999999998</v>
      </c>
      <c r="Y68" s="72">
        <f t="shared" si="15"/>
        <v>97.7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1212.5</v>
      </c>
      <c r="AH68" s="72">
        <f>AH62-AH63-AH66-AH67-AH65-AH64</f>
        <v>2915.7999999999997</v>
      </c>
      <c r="AJ68" s="21"/>
    </row>
    <row r="69" spans="1:36" s="18" customFormat="1" ht="31.5">
      <c r="A69" s="96" t="s">
        <v>45</v>
      </c>
      <c r="B69" s="97">
        <f>2445.1-1385-199</f>
        <v>861.0999999999999</v>
      </c>
      <c r="C69" s="97">
        <f>790.7-8</f>
        <v>782.7</v>
      </c>
      <c r="D69" s="72"/>
      <c r="E69" s="72"/>
      <c r="F69" s="72">
        <v>852.4</v>
      </c>
      <c r="G69" s="72"/>
      <c r="H69" s="72"/>
      <c r="I69" s="72"/>
      <c r="J69" s="72"/>
      <c r="K69" s="72"/>
      <c r="L69" s="72"/>
      <c r="M69" s="72"/>
      <c r="N69" s="72"/>
      <c r="O69" s="72"/>
      <c r="P69" s="72">
        <v>789.7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1642.1</v>
      </c>
      <c r="AH69" s="89">
        <f aca="true" t="shared" si="16" ref="AH69:AH92">B69+C69-AG69</f>
        <v>1.7000000000000455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49.6+1523-1900</f>
        <v>-327.4000000000001</v>
      </c>
      <c r="C71" s="109">
        <f>2501.3-871.7</f>
        <v>1629.6000000000001</v>
      </c>
      <c r="D71" s="80"/>
      <c r="E71" s="80"/>
      <c r="F71" s="80">
        <v>36</v>
      </c>
      <c r="G71" s="80"/>
      <c r="H71" s="80"/>
      <c r="I71" s="80">
        <v>430.7</v>
      </c>
      <c r="J71" s="80"/>
      <c r="K71" s="80"/>
      <c r="L71" s="80"/>
      <c r="M71" s="80"/>
      <c r="N71" s="80"/>
      <c r="O71" s="80">
        <v>542</v>
      </c>
      <c r="P71" s="80"/>
      <c r="Q71" s="80"/>
      <c r="R71" s="80"/>
      <c r="S71" s="80"/>
      <c r="T71" s="80"/>
      <c r="U71" s="80">
        <v>60.6</v>
      </c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1069.3</v>
      </c>
      <c r="AH71" s="89">
        <f t="shared" si="16"/>
        <v>232.9000000000001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401.1+127+427.8+80.5+473.5+109+0.2-438-90</f>
        <v>1091.1000000000001</v>
      </c>
      <c r="C72" s="97">
        <f>2095.5-100</f>
        <v>1995.5</v>
      </c>
      <c r="D72" s="72"/>
      <c r="E72" s="72"/>
      <c r="F72" s="72">
        <f>991.4-9.5-852.6</f>
        <v>129.29999999999995</v>
      </c>
      <c r="G72" s="72">
        <v>19.7</v>
      </c>
      <c r="H72" s="72">
        <v>21.9</v>
      </c>
      <c r="I72" s="72">
        <v>11</v>
      </c>
      <c r="J72" s="72">
        <v>0.3</v>
      </c>
      <c r="K72" s="72">
        <v>40.1</v>
      </c>
      <c r="L72" s="72">
        <v>0.3</v>
      </c>
      <c r="M72" s="72">
        <v>44.6</v>
      </c>
      <c r="N72" s="72"/>
      <c r="O72" s="72">
        <v>11.6</v>
      </c>
      <c r="P72" s="72"/>
      <c r="Q72" s="72"/>
      <c r="R72" s="72">
        <v>4.6</v>
      </c>
      <c r="S72" s="72"/>
      <c r="T72" s="72">
        <v>5.4</v>
      </c>
      <c r="U72" s="72">
        <v>490.9</v>
      </c>
      <c r="V72" s="72">
        <v>17.2</v>
      </c>
      <c r="W72" s="72">
        <f>7.7+80.5</f>
        <v>88.2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885.1000000000001</v>
      </c>
      <c r="AH72" s="89">
        <f t="shared" si="16"/>
        <v>2201.5</v>
      </c>
      <c r="AJ72" s="21"/>
    </row>
    <row r="73" spans="1:36" s="18" customFormat="1" ht="15" customHeight="1">
      <c r="A73" s="98" t="s">
        <v>5</v>
      </c>
      <c r="B73" s="97">
        <v>80.5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>
        <v>80.5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80.5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107+31</f>
        <v>138</v>
      </c>
      <c r="C74" s="97">
        <f>467.8</f>
        <v>467.8</v>
      </c>
      <c r="D74" s="72"/>
      <c r="E74" s="72"/>
      <c r="F74" s="72">
        <f>33.9+18.5</f>
        <v>52.4</v>
      </c>
      <c r="G74" s="72"/>
      <c r="H74" s="72"/>
      <c r="I74" s="72">
        <v>1</v>
      </c>
      <c r="J74" s="72"/>
      <c r="K74" s="72">
        <f>2.3+14.5</f>
        <v>16.8</v>
      </c>
      <c r="L74" s="72"/>
      <c r="M74" s="72"/>
      <c r="N74" s="72"/>
      <c r="O74" s="72">
        <v>1.1</v>
      </c>
      <c r="P74" s="72"/>
      <c r="Q74" s="72"/>
      <c r="R74" s="72"/>
      <c r="S74" s="72"/>
      <c r="T74" s="72">
        <v>4.5</v>
      </c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75.8</v>
      </c>
      <c r="AH74" s="89">
        <f t="shared" si="16"/>
        <v>530</v>
      </c>
      <c r="AJ74" s="21"/>
    </row>
    <row r="75" spans="1:36" s="18" customFormat="1" ht="15" customHeight="1">
      <c r="A75" s="98" t="s">
        <v>16</v>
      </c>
      <c r="B75" s="97">
        <f>15+11.6</f>
        <v>26.6</v>
      </c>
      <c r="C75" s="97">
        <f>39.5-8</f>
        <v>31.5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>
        <v>7.7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7.7</v>
      </c>
      <c r="AH75" s="89">
        <f t="shared" si="16"/>
        <v>50.4</v>
      </c>
      <c r="AJ75" s="21"/>
    </row>
    <row r="76" spans="1:36" s="112" customFormat="1" ht="15.75">
      <c r="A76" s="111" t="s">
        <v>48</v>
      </c>
      <c r="B76" s="97">
        <v>189.9</v>
      </c>
      <c r="C76" s="97">
        <v>32.79999999999998</v>
      </c>
      <c r="D76" s="72"/>
      <c r="E76" s="80"/>
      <c r="F76" s="80"/>
      <c r="G76" s="80"/>
      <c r="H76" s="80"/>
      <c r="I76" s="80">
        <v>18.6</v>
      </c>
      <c r="J76" s="80"/>
      <c r="K76" s="80"/>
      <c r="L76" s="80"/>
      <c r="M76" s="80"/>
      <c r="N76" s="80">
        <v>51.1</v>
      </c>
      <c r="O76" s="80"/>
      <c r="P76" s="80">
        <v>12</v>
      </c>
      <c r="Q76" s="80"/>
      <c r="R76" s="80">
        <v>15.7</v>
      </c>
      <c r="S76" s="80"/>
      <c r="T76" s="80"/>
      <c r="U76" s="80"/>
      <c r="V76" s="80"/>
      <c r="W76" s="80">
        <v>91.6</v>
      </c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189</v>
      </c>
      <c r="AH76" s="89">
        <f t="shared" si="16"/>
        <v>33.69999999999999</v>
      </c>
      <c r="AJ76" s="21"/>
    </row>
    <row r="77" spans="1:36" s="112" customFormat="1" ht="15.75">
      <c r="A77" s="98" t="s">
        <v>5</v>
      </c>
      <c r="B77" s="97">
        <f>135.6+0.1</f>
        <v>135.7</v>
      </c>
      <c r="C77" s="97">
        <v>6.5</v>
      </c>
      <c r="D77" s="72"/>
      <c r="E77" s="80"/>
      <c r="F77" s="80"/>
      <c r="G77" s="80"/>
      <c r="H77" s="80"/>
      <c r="I77" s="80">
        <v>16.1</v>
      </c>
      <c r="J77" s="80"/>
      <c r="K77" s="80"/>
      <c r="L77" s="80"/>
      <c r="M77" s="80"/>
      <c r="N77" s="80">
        <v>47.6</v>
      </c>
      <c r="O77" s="80"/>
      <c r="P77" s="80"/>
      <c r="Q77" s="80"/>
      <c r="R77" s="80"/>
      <c r="S77" s="80"/>
      <c r="T77" s="80"/>
      <c r="U77" s="80"/>
      <c r="V77" s="80"/>
      <c r="W77" s="80">
        <v>70.6</v>
      </c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134.3</v>
      </c>
      <c r="AH77" s="89">
        <f t="shared" si="16"/>
        <v>7.899999999999977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4.500000000000002</v>
      </c>
      <c r="D80" s="72"/>
      <c r="E80" s="80"/>
      <c r="F80" s="80"/>
      <c r="G80" s="80"/>
      <c r="H80" s="80"/>
      <c r="I80" s="80">
        <v>2.5</v>
      </c>
      <c r="J80" s="80"/>
      <c r="K80" s="80"/>
      <c r="L80" s="80"/>
      <c r="M80" s="80"/>
      <c r="N80" s="80">
        <f>0.1+0.1</f>
        <v>0.2</v>
      </c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2.7</v>
      </c>
      <c r="AH80" s="89">
        <f t="shared" si="16"/>
        <v>2.4000000000000012</v>
      </c>
      <c r="AJ80" s="21"/>
    </row>
    <row r="81" spans="1:36" s="112" customFormat="1" ht="15.75">
      <c r="A81" s="111" t="s">
        <v>49</v>
      </c>
      <c r="B81" s="97">
        <v>0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0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16754.8-115.5+900+3000+4585+6000+2400</f>
        <v>33524.3</v>
      </c>
      <c r="C89" s="97">
        <v>4746.9</v>
      </c>
      <c r="D89" s="72"/>
      <c r="E89" s="72"/>
      <c r="F89" s="72">
        <v>7410.2</v>
      </c>
      <c r="G89" s="72">
        <v>1284.9</v>
      </c>
      <c r="H89" s="72"/>
      <c r="I89" s="72">
        <v>26.5</v>
      </c>
      <c r="J89" s="72">
        <v>5739.9</v>
      </c>
      <c r="K89" s="72"/>
      <c r="L89" s="72">
        <v>1034.3</v>
      </c>
      <c r="M89" s="72"/>
      <c r="N89" s="72"/>
      <c r="O89" s="72">
        <v>3540.7</v>
      </c>
      <c r="P89" s="72"/>
      <c r="Q89" s="72">
        <v>767.6</v>
      </c>
      <c r="R89" s="72">
        <v>4774.7</v>
      </c>
      <c r="S89" s="72"/>
      <c r="T89" s="72">
        <v>10767.4</v>
      </c>
      <c r="U89" s="72"/>
      <c r="V89" s="72">
        <v>32.2</v>
      </c>
      <c r="W89" s="72">
        <v>629.6</v>
      </c>
      <c r="X89" s="72"/>
      <c r="Y89" s="72">
        <v>927.9</v>
      </c>
      <c r="Z89" s="72"/>
      <c r="AA89" s="72"/>
      <c r="AB89" s="72"/>
      <c r="AC89" s="72"/>
      <c r="AD89" s="72"/>
      <c r="AE89" s="72"/>
      <c r="AF89" s="72"/>
      <c r="AG89" s="72">
        <f t="shared" si="13"/>
        <v>36935.899999999994</v>
      </c>
      <c r="AH89" s="72">
        <f t="shared" si="16"/>
        <v>1335.3000000000102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/>
      <c r="W90" s="72"/>
      <c r="X90" s="72"/>
      <c r="Y90" s="72"/>
      <c r="Z90" s="72">
        <v>1886.8</v>
      </c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-35</v>
      </c>
      <c r="C91" s="97">
        <v>100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v>13414</v>
      </c>
      <c r="C92" s="97">
        <v>0.014829999996436527</v>
      </c>
      <c r="D92" s="72"/>
      <c r="E92" s="72">
        <v>10069.6</v>
      </c>
      <c r="F92" s="72"/>
      <c r="G92" s="72"/>
      <c r="H92" s="72"/>
      <c r="I92" s="72">
        <v>3344.4</v>
      </c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13414</v>
      </c>
      <c r="AH92" s="72">
        <f t="shared" si="16"/>
        <v>0.014829999996436527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229019.09999999995</v>
      </c>
      <c r="C94" s="136">
        <f t="shared" si="17"/>
        <v>73688.91483000001</v>
      </c>
      <c r="D94" s="91">
        <f t="shared" si="17"/>
        <v>0</v>
      </c>
      <c r="E94" s="91">
        <f t="shared" si="17"/>
        <v>10633.300000000001</v>
      </c>
      <c r="F94" s="91">
        <f t="shared" si="17"/>
        <v>10038.3</v>
      </c>
      <c r="G94" s="91">
        <f t="shared" si="17"/>
        <v>3756.7</v>
      </c>
      <c r="H94" s="91">
        <f>H10+H15+H24+H33+H47+H52+H54+H61+H62+H69+H71+H72+H76+H81+H82+H83+H88+H89+H90+H91+H40+H92+H70</f>
        <v>3510.4</v>
      </c>
      <c r="I94" s="91">
        <f t="shared" si="17"/>
        <v>5282.1</v>
      </c>
      <c r="J94" s="91">
        <f t="shared" si="17"/>
        <v>13578</v>
      </c>
      <c r="K94" s="91">
        <f t="shared" si="17"/>
        <v>35166.799999999996</v>
      </c>
      <c r="L94" s="91">
        <f t="shared" si="17"/>
        <v>8076.5</v>
      </c>
      <c r="M94" s="91">
        <f t="shared" si="17"/>
        <v>3214</v>
      </c>
      <c r="N94" s="91">
        <f t="shared" si="17"/>
        <v>807.1</v>
      </c>
      <c r="O94" s="91">
        <f t="shared" si="17"/>
        <v>4867.8</v>
      </c>
      <c r="P94" s="91">
        <f t="shared" si="17"/>
        <v>7927.5</v>
      </c>
      <c r="Q94" s="91">
        <f t="shared" si="17"/>
        <v>3407.9</v>
      </c>
      <c r="R94" s="91">
        <f t="shared" si="17"/>
        <v>5663.7</v>
      </c>
      <c r="S94" s="91">
        <f t="shared" si="17"/>
        <v>1038.8</v>
      </c>
      <c r="T94" s="91">
        <f t="shared" si="17"/>
        <v>12953</v>
      </c>
      <c r="U94" s="91">
        <f t="shared" si="17"/>
        <v>3811.3999999999996</v>
      </c>
      <c r="V94" s="91">
        <f t="shared" si="17"/>
        <v>20865.4</v>
      </c>
      <c r="W94" s="91">
        <f t="shared" si="17"/>
        <v>60125.69999999999</v>
      </c>
      <c r="X94" s="91">
        <f t="shared" si="17"/>
        <v>5106.599999999999</v>
      </c>
      <c r="Y94" s="91">
        <f t="shared" si="17"/>
        <v>1040.7</v>
      </c>
      <c r="Z94" s="91">
        <f t="shared" si="17"/>
        <v>1893.8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222765.49999999997</v>
      </c>
      <c r="AH94" s="91">
        <f>AH10+AH15+AH24+AH33+AH47+AH52+AH54+AH61+AH62+AH69+AH71+AH72+AH76+AH81+AH82+AH83+AH88+AH89+AH90+AH91+AH70+AH40+AH92</f>
        <v>79942.51483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117119.39999999998</v>
      </c>
      <c r="C95" s="97">
        <f t="shared" si="18"/>
        <v>11505.86</v>
      </c>
      <c r="D95" s="72">
        <f t="shared" si="18"/>
        <v>0</v>
      </c>
      <c r="E95" s="72">
        <f t="shared" si="18"/>
        <v>497.7</v>
      </c>
      <c r="F95" s="72">
        <f t="shared" si="18"/>
        <v>70.3</v>
      </c>
      <c r="G95" s="72">
        <f t="shared" si="18"/>
        <v>10.4</v>
      </c>
      <c r="H95" s="72">
        <f>H11+H17+H26+H34+H55+H63+H73+H41+H77+H48</f>
        <v>66.5</v>
      </c>
      <c r="I95" s="72">
        <f t="shared" si="18"/>
        <v>431.30000000000007</v>
      </c>
      <c r="J95" s="72">
        <f t="shared" si="18"/>
        <v>739.5</v>
      </c>
      <c r="K95" s="72">
        <f t="shared" si="18"/>
        <v>24522.9</v>
      </c>
      <c r="L95" s="72">
        <f t="shared" si="18"/>
        <v>2824.2000000000003</v>
      </c>
      <c r="M95" s="72">
        <f t="shared" si="18"/>
        <v>2098.9</v>
      </c>
      <c r="N95" s="72">
        <f t="shared" si="18"/>
        <v>47.6</v>
      </c>
      <c r="O95" s="72">
        <f t="shared" si="18"/>
        <v>101.7</v>
      </c>
      <c r="P95" s="72">
        <f t="shared" si="18"/>
        <v>0.4</v>
      </c>
      <c r="Q95" s="72">
        <f t="shared" si="18"/>
        <v>516</v>
      </c>
      <c r="R95" s="72">
        <f t="shared" si="18"/>
        <v>0</v>
      </c>
      <c r="S95" s="72">
        <f t="shared" si="18"/>
        <v>10.8</v>
      </c>
      <c r="T95" s="72">
        <f t="shared" si="18"/>
        <v>0</v>
      </c>
      <c r="U95" s="72">
        <f t="shared" si="18"/>
        <v>0</v>
      </c>
      <c r="V95" s="72">
        <f t="shared" si="18"/>
        <v>2909.8</v>
      </c>
      <c r="W95" s="72">
        <f>W11+W17+W26+W34+W55+W63+W73+W41+W77+W48</f>
        <v>57240.19999999999</v>
      </c>
      <c r="X95" s="72">
        <f t="shared" si="18"/>
        <v>4959.9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97048.09999999999</v>
      </c>
      <c r="AH95" s="72">
        <f>B95+C95-AG95</f>
        <v>31577.15999999999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-3013.2000000000003</v>
      </c>
      <c r="C96" s="97">
        <f t="shared" si="19"/>
        <v>19397.6</v>
      </c>
      <c r="D96" s="72">
        <f t="shared" si="19"/>
        <v>0</v>
      </c>
      <c r="E96" s="72">
        <f t="shared" si="19"/>
        <v>0</v>
      </c>
      <c r="F96" s="72">
        <f t="shared" si="19"/>
        <v>1086.1000000000001</v>
      </c>
      <c r="G96" s="72">
        <f t="shared" si="19"/>
        <v>641.1</v>
      </c>
      <c r="H96" s="72">
        <f>H12+H20+H29+H36+H57+H66+H44+H80+H74+H53</f>
        <v>199</v>
      </c>
      <c r="I96" s="72">
        <f t="shared" si="19"/>
        <v>126</v>
      </c>
      <c r="J96" s="72">
        <f t="shared" si="19"/>
        <v>944.5</v>
      </c>
      <c r="K96" s="72">
        <f t="shared" si="19"/>
        <v>888.8</v>
      </c>
      <c r="L96" s="72">
        <f t="shared" si="19"/>
        <v>891.8</v>
      </c>
      <c r="M96" s="72">
        <f t="shared" si="19"/>
        <v>6.2</v>
      </c>
      <c r="N96" s="72">
        <f t="shared" si="19"/>
        <v>274.2</v>
      </c>
      <c r="O96" s="72">
        <f t="shared" si="19"/>
        <v>74.19999999999999</v>
      </c>
      <c r="P96" s="72">
        <f t="shared" si="19"/>
        <v>345.9</v>
      </c>
      <c r="Q96" s="72">
        <f t="shared" si="19"/>
        <v>0</v>
      </c>
      <c r="R96" s="72">
        <f t="shared" si="19"/>
        <v>93.7</v>
      </c>
      <c r="S96" s="72">
        <f t="shared" si="19"/>
        <v>72.5</v>
      </c>
      <c r="T96" s="72">
        <f t="shared" si="19"/>
        <v>482.8</v>
      </c>
      <c r="U96" s="72">
        <f t="shared" si="19"/>
        <v>233.2</v>
      </c>
      <c r="V96" s="72">
        <f t="shared" si="19"/>
        <v>123.3</v>
      </c>
      <c r="W96" s="72">
        <f t="shared" si="19"/>
        <v>498.30000000000007</v>
      </c>
      <c r="X96" s="72">
        <f t="shared" si="19"/>
        <v>17.900000000000002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6999.499999999999</v>
      </c>
      <c r="AH96" s="72">
        <f>B96+C96-AG96</f>
        <v>9384.899999999998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16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0.4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0.4</v>
      </c>
      <c r="AH97" s="72">
        <f>B97+C97-AG97</f>
        <v>15.6</v>
      </c>
    </row>
    <row r="98" spans="1:34" s="18" customFormat="1" ht="15.75">
      <c r="A98" s="98" t="s">
        <v>1</v>
      </c>
      <c r="B98" s="97">
        <f aca="true" t="shared" si="21" ref="B98:AE98">B19+B28+B65+B35+B43+B56+B79</f>
        <v>5952.000000000001</v>
      </c>
      <c r="C98" s="97">
        <f t="shared" si="21"/>
        <v>3120.9999999999986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708.8</v>
      </c>
      <c r="H98" s="72">
        <f>H19+H28+H65+H35+H43+H56+H79</f>
        <v>214.1</v>
      </c>
      <c r="I98" s="72">
        <f t="shared" si="21"/>
        <v>98</v>
      </c>
      <c r="J98" s="72">
        <f t="shared" si="21"/>
        <v>840.2</v>
      </c>
      <c r="K98" s="72">
        <f t="shared" si="21"/>
        <v>523.2</v>
      </c>
      <c r="L98" s="72">
        <f t="shared" si="21"/>
        <v>41.599999999999994</v>
      </c>
      <c r="M98" s="72">
        <f t="shared" si="21"/>
        <v>314.6</v>
      </c>
      <c r="N98" s="72">
        <f t="shared" si="21"/>
        <v>100.4</v>
      </c>
      <c r="O98" s="72">
        <f t="shared" si="21"/>
        <v>466.3</v>
      </c>
      <c r="P98" s="72">
        <f t="shared" si="21"/>
        <v>450.59999999999997</v>
      </c>
      <c r="Q98" s="72">
        <f t="shared" si="21"/>
        <v>0.2</v>
      </c>
      <c r="R98" s="72">
        <f t="shared" si="21"/>
        <v>78.1</v>
      </c>
      <c r="S98" s="72">
        <f t="shared" si="21"/>
        <v>348.79999999999995</v>
      </c>
      <c r="T98" s="72">
        <f t="shared" si="21"/>
        <v>113</v>
      </c>
      <c r="U98" s="72">
        <f t="shared" si="21"/>
        <v>951.6</v>
      </c>
      <c r="V98" s="72">
        <f t="shared" si="21"/>
        <v>5.1</v>
      </c>
      <c r="W98" s="72">
        <f t="shared" si="21"/>
        <v>156.9</v>
      </c>
      <c r="X98" s="72">
        <f t="shared" si="21"/>
        <v>1.7</v>
      </c>
      <c r="Y98" s="72">
        <f t="shared" si="21"/>
        <v>5.4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5418.599999999999</v>
      </c>
      <c r="AH98" s="72">
        <f>B98+C98-AG98</f>
        <v>3654.4000000000005</v>
      </c>
    </row>
    <row r="99" spans="1:34" s="18" customFormat="1" ht="15.75">
      <c r="A99" s="98" t="s">
        <v>16</v>
      </c>
      <c r="B99" s="97">
        <f>B21+B30+B49+B37+B58+B13+B75+B67</f>
        <v>5661.800000000001</v>
      </c>
      <c r="C99" s="97">
        <f aca="true" t="shared" si="22" ref="C99:Y99">C21+C30+C49+C37+C58+C13+C75+C67</f>
        <v>3299.500000000001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235.8</v>
      </c>
      <c r="H99" s="72">
        <f>H21+H30+H49+H37+H58+H13+H75+H67</f>
        <v>1919</v>
      </c>
      <c r="I99" s="72">
        <f t="shared" si="22"/>
        <v>31.6</v>
      </c>
      <c r="J99" s="72">
        <f t="shared" si="22"/>
        <v>205.8</v>
      </c>
      <c r="K99" s="72">
        <f t="shared" si="22"/>
        <v>0</v>
      </c>
      <c r="L99" s="72">
        <f t="shared" si="22"/>
        <v>186</v>
      </c>
      <c r="M99" s="72">
        <f t="shared" si="22"/>
        <v>156.7</v>
      </c>
      <c r="N99" s="72">
        <f t="shared" si="22"/>
        <v>80.6</v>
      </c>
      <c r="O99" s="72">
        <f t="shared" si="22"/>
        <v>10</v>
      </c>
      <c r="P99" s="72">
        <f t="shared" si="22"/>
        <v>1790.4</v>
      </c>
      <c r="Q99" s="72">
        <f t="shared" si="22"/>
        <v>11.7</v>
      </c>
      <c r="R99" s="72">
        <f t="shared" si="22"/>
        <v>522.6</v>
      </c>
      <c r="S99" s="72">
        <f t="shared" si="22"/>
        <v>363.5</v>
      </c>
      <c r="T99" s="72">
        <f t="shared" si="22"/>
        <v>346</v>
      </c>
      <c r="U99" s="72">
        <f t="shared" si="22"/>
        <v>0</v>
      </c>
      <c r="V99" s="72">
        <f t="shared" si="22"/>
        <v>87.4</v>
      </c>
      <c r="W99" s="72">
        <f t="shared" si="22"/>
        <v>198.1</v>
      </c>
      <c r="X99" s="72">
        <f t="shared" si="22"/>
        <v>50.2</v>
      </c>
      <c r="Y99" s="72">
        <f t="shared" si="22"/>
        <v>2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6197.4</v>
      </c>
      <c r="AH99" s="72">
        <f>B99+C99-AG99</f>
        <v>2763.9000000000033</v>
      </c>
    </row>
    <row r="100" spans="1:34" ht="12.75">
      <c r="A100" s="1" t="s">
        <v>35</v>
      </c>
      <c r="B100" s="2">
        <f>B94-B95-B96-B97-B98-B99</f>
        <v>103299.09999999996</v>
      </c>
      <c r="C100" s="2">
        <f aca="true" t="shared" si="24" ref="C100:AE100">C94-C95-C96-C97-C98-C99</f>
        <v>36348.95483000001</v>
      </c>
      <c r="D100" s="84">
        <f t="shared" si="24"/>
        <v>0</v>
      </c>
      <c r="E100" s="84">
        <f t="shared" si="24"/>
        <v>10135.6</v>
      </c>
      <c r="F100" s="84">
        <f t="shared" si="24"/>
        <v>8881.9</v>
      </c>
      <c r="G100" s="84">
        <f t="shared" si="24"/>
        <v>2160.5999999999995</v>
      </c>
      <c r="H100" s="84">
        <f>H94-H95-H96-H97-H98-H99</f>
        <v>1111.8000000000002</v>
      </c>
      <c r="I100" s="84">
        <f t="shared" si="24"/>
        <v>4595.2</v>
      </c>
      <c r="J100" s="84">
        <f t="shared" si="24"/>
        <v>10848</v>
      </c>
      <c r="K100" s="84">
        <f t="shared" si="24"/>
        <v>9231.899999999994</v>
      </c>
      <c r="L100" s="84">
        <f t="shared" si="24"/>
        <v>4132.899999999999</v>
      </c>
      <c r="M100" s="84">
        <f t="shared" si="24"/>
        <v>637.5999999999999</v>
      </c>
      <c r="N100" s="92">
        <f t="shared" si="24"/>
        <v>304.29999999999995</v>
      </c>
      <c r="O100" s="84">
        <f t="shared" si="24"/>
        <v>4215.6</v>
      </c>
      <c r="P100" s="84">
        <f t="shared" si="24"/>
        <v>5340.200000000001</v>
      </c>
      <c r="Q100" s="84">
        <f t="shared" si="24"/>
        <v>2880.0000000000005</v>
      </c>
      <c r="R100" s="84">
        <f t="shared" si="24"/>
        <v>4969.299999999999</v>
      </c>
      <c r="S100" s="84">
        <f t="shared" si="24"/>
        <v>243.20000000000005</v>
      </c>
      <c r="T100" s="84">
        <f t="shared" si="24"/>
        <v>12011.2</v>
      </c>
      <c r="U100" s="84">
        <f t="shared" si="24"/>
        <v>2626.2</v>
      </c>
      <c r="V100" s="84">
        <f t="shared" si="24"/>
        <v>17739.800000000003</v>
      </c>
      <c r="W100" s="84">
        <f t="shared" si="24"/>
        <v>2032.1999999999998</v>
      </c>
      <c r="X100" s="84">
        <f t="shared" si="24"/>
        <v>76.8999999999998</v>
      </c>
      <c r="Y100" s="84">
        <f t="shared" si="24"/>
        <v>1033.3</v>
      </c>
      <c r="Z100" s="84">
        <f t="shared" si="24"/>
        <v>1893.8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107101.49999999999</v>
      </c>
      <c r="AH100" s="84">
        <f>AH94-AH95-AH96-AH97-AH98-AH99</f>
        <v>32546.554830000015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186"/>
  <sheetViews>
    <sheetView zoomScale="70" zoomScaleNormal="70" zoomScalePageLayoutView="0" workbookViewId="0" topLeftCell="A1">
      <pane xSplit="1" ySplit="8" topLeftCell="R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G15" sqref="AG15:AG2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9.25390625" style="0" hidden="1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hidden="1" customWidth="1"/>
    <col min="24" max="24" width="10.625" style="0" hidden="1" customWidth="1"/>
    <col min="25" max="25" width="11.75390625" style="18" hidden="1" customWidth="1"/>
    <col min="26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5" t="s">
        <v>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</row>
    <row r="2" spans="1:34" s="18" customFormat="1" ht="22.5" customHeight="1">
      <c r="A2" s="196" t="s">
        <v>62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</row>
    <row r="3" spans="2:34" s="18" customFormat="1" ht="17.25" customHeight="1">
      <c r="B3" s="116"/>
      <c r="C3" s="116"/>
      <c r="D3" s="116"/>
      <c r="AH3" s="117" t="s">
        <v>17</v>
      </c>
    </row>
    <row r="4" spans="1:34" s="18" customFormat="1" ht="63">
      <c r="A4" s="118" t="s">
        <v>26</v>
      </c>
      <c r="B4" s="119" t="s">
        <v>63</v>
      </c>
      <c r="C4" s="119" t="s">
        <v>18</v>
      </c>
      <c r="D4" s="119">
        <v>1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18</v>
      </c>
      <c r="P4" s="19">
        <v>19</v>
      </c>
      <c r="Q4" s="19">
        <v>20</v>
      </c>
      <c r="R4" s="19">
        <v>21</v>
      </c>
      <c r="S4" s="19">
        <v>24</v>
      </c>
      <c r="T4" s="19">
        <v>25</v>
      </c>
      <c r="U4" s="19">
        <v>26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19"/>
      <c r="AB4" s="19"/>
      <c r="AC4" s="19"/>
      <c r="AD4" s="19"/>
      <c r="AE4" s="19"/>
      <c r="AF4" s="119" t="s">
        <v>19</v>
      </c>
      <c r="AG4" s="120" t="s">
        <v>13</v>
      </c>
      <c r="AH4" s="120" t="s">
        <v>20</v>
      </c>
    </row>
    <row r="5" spans="1:34" s="18" customFormat="1" ht="15.75" hidden="1">
      <c r="A5" s="121" t="s">
        <v>42</v>
      </c>
      <c r="B5" s="86">
        <f>SUM(D5:Z5)</f>
        <v>0</v>
      </c>
      <c r="C5" s="86"/>
      <c r="D5" s="122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86"/>
      <c r="AG5" s="123"/>
      <c r="AH5" s="123"/>
    </row>
    <row r="6" spans="1:34" s="18" customFormat="1" ht="15.75" hidden="1">
      <c r="A6" s="121" t="s">
        <v>33</v>
      </c>
      <c r="B6" s="87">
        <f>SUM(D6:AE6)</f>
        <v>0</v>
      </c>
      <c r="C6" s="122"/>
      <c r="D6" s="122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122"/>
      <c r="AG6" s="123"/>
      <c r="AH6" s="123"/>
    </row>
    <row r="7" spans="1:34" s="18" customFormat="1" ht="15.75">
      <c r="A7" s="121" t="s">
        <v>36</v>
      </c>
      <c r="B7" s="87">
        <f>SUM(D7:Z7)</f>
        <v>63803.2</v>
      </c>
      <c r="C7" s="86">
        <v>9997.099999999995</v>
      </c>
      <c r="D7" s="122"/>
      <c r="E7" s="39"/>
      <c r="F7" s="39">
        <v>31901.6</v>
      </c>
      <c r="G7" s="39"/>
      <c r="H7" s="124"/>
      <c r="I7" s="125"/>
      <c r="J7" s="39"/>
      <c r="K7" s="39">
        <v>31901.6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86">
        <f>C7+F7+K7-AG16-AG25</f>
        <v>1603.899999999987</v>
      </c>
      <c r="AG7" s="86"/>
      <c r="AH7" s="123"/>
    </row>
    <row r="8" spans="1:56" s="18" customFormat="1" ht="18" customHeight="1">
      <c r="A8" s="126" t="s">
        <v>30</v>
      </c>
      <c r="B8" s="87">
        <f>SUM(E8:AC8)</f>
        <v>136207.2</v>
      </c>
      <c r="C8" s="87">
        <v>51808.37824000011</v>
      </c>
      <c r="D8" s="127"/>
      <c r="E8" s="128">
        <v>6672.4</v>
      </c>
      <c r="F8" s="62">
        <v>3679.2</v>
      </c>
      <c r="G8" s="62">
        <v>3636.6</v>
      </c>
      <c r="H8" s="62">
        <v>5869.4</v>
      </c>
      <c r="I8" s="62">
        <v>8563.9</v>
      </c>
      <c r="J8" s="62">
        <v>17777.1</v>
      </c>
      <c r="K8" s="62">
        <v>2436</v>
      </c>
      <c r="L8" s="62">
        <v>1973.6</v>
      </c>
      <c r="M8" s="62">
        <v>2886</v>
      </c>
      <c r="N8" s="62">
        <v>8385.1</v>
      </c>
      <c r="O8" s="62">
        <v>12331.8</v>
      </c>
      <c r="P8" s="62">
        <v>5263.3</v>
      </c>
      <c r="Q8" s="62">
        <v>5190.3</v>
      </c>
      <c r="R8" s="62">
        <v>7573.1</v>
      </c>
      <c r="S8" s="62">
        <v>10972.7</v>
      </c>
      <c r="T8" s="63">
        <v>3749</v>
      </c>
      <c r="U8" s="63">
        <v>9651.2</v>
      </c>
      <c r="V8" s="62">
        <v>19596.5</v>
      </c>
      <c r="W8" s="62"/>
      <c r="X8" s="62"/>
      <c r="Y8" s="62"/>
      <c r="Z8" s="62"/>
      <c r="AA8" s="62"/>
      <c r="AB8" s="62"/>
      <c r="AC8" s="62"/>
      <c r="AD8" s="129"/>
      <c r="AE8" s="129"/>
      <c r="AF8" s="130">
        <f>SUM(D8:AE8)+C8-AG9+AG16+AG25</f>
        <v>28300.3066200002</v>
      </c>
      <c r="AG8" s="131"/>
      <c r="AH8" s="72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26" t="s">
        <v>14</v>
      </c>
      <c r="B9" s="132">
        <f aca="true" t="shared" si="0" ref="B9:AE9">B10+B15+B24+B33+B47+B52+B54+B61+B62+B71+B72+B88+B76+B81+B83+B82+B69+B89+B90+B91+B70+B40+B92</f>
        <v>219183.89999999997</v>
      </c>
      <c r="C9" s="132">
        <f t="shared" si="0"/>
        <v>79954.2</v>
      </c>
      <c r="D9" s="90">
        <f t="shared" si="0"/>
        <v>0</v>
      </c>
      <c r="E9" s="90">
        <f t="shared" si="0"/>
        <v>254.4</v>
      </c>
      <c r="F9" s="90">
        <f t="shared" si="0"/>
        <v>3045.7</v>
      </c>
      <c r="G9" s="90">
        <f t="shared" si="0"/>
        <v>9565.8</v>
      </c>
      <c r="H9" s="90">
        <f>H10+H15+H24+H33+H47+H52+H54+H61+H62+H71+H72+H88+H76+H81+H83+H82+H69+H89+H90+H91+H70+H40+H92</f>
        <v>5999.699999999999</v>
      </c>
      <c r="I9" s="90">
        <f t="shared" si="0"/>
        <v>4947.47162</v>
      </c>
      <c r="J9" s="90">
        <f t="shared" si="0"/>
        <v>9309.4</v>
      </c>
      <c r="K9" s="90">
        <f t="shared" si="0"/>
        <v>33398.5</v>
      </c>
      <c r="L9" s="90">
        <f t="shared" si="0"/>
        <v>51394.700000000004</v>
      </c>
      <c r="M9" s="90">
        <f t="shared" si="0"/>
        <v>5278.899999999999</v>
      </c>
      <c r="N9" s="90">
        <f t="shared" si="0"/>
        <v>2657.7999999999997</v>
      </c>
      <c r="O9" s="90">
        <f t="shared" si="0"/>
        <v>2062.5</v>
      </c>
      <c r="P9" s="90">
        <f t="shared" si="0"/>
        <v>5695.3</v>
      </c>
      <c r="Q9" s="90">
        <f t="shared" si="0"/>
        <v>4019</v>
      </c>
      <c r="R9" s="90">
        <f t="shared" si="0"/>
        <v>4339.4</v>
      </c>
      <c r="S9" s="90">
        <f t="shared" si="0"/>
        <v>47823.69999999999</v>
      </c>
      <c r="T9" s="90">
        <f t="shared" si="0"/>
        <v>15705.400000000001</v>
      </c>
      <c r="U9" s="90">
        <f t="shared" si="0"/>
        <v>9906.7</v>
      </c>
      <c r="V9" s="90">
        <f t="shared" si="0"/>
        <v>16507.3</v>
      </c>
      <c r="W9" s="90">
        <f t="shared" si="0"/>
        <v>0</v>
      </c>
      <c r="X9" s="90">
        <f t="shared" si="0"/>
        <v>0</v>
      </c>
      <c r="Y9" s="90">
        <f t="shared" si="0"/>
        <v>0</v>
      </c>
      <c r="Z9" s="90">
        <f t="shared" si="0"/>
        <v>0</v>
      </c>
      <c r="AA9" s="90">
        <f t="shared" si="0"/>
        <v>0</v>
      </c>
      <c r="AB9" s="90">
        <f t="shared" si="0"/>
        <v>0</v>
      </c>
      <c r="AC9" s="90">
        <f t="shared" si="0"/>
        <v>0</v>
      </c>
      <c r="AD9" s="90">
        <f t="shared" si="0"/>
        <v>0</v>
      </c>
      <c r="AE9" s="90">
        <f t="shared" si="0"/>
        <v>0</v>
      </c>
      <c r="AF9" s="90"/>
      <c r="AG9" s="90">
        <f>AG10+AG15+AG24+AG33+AG47+AG52+AG54+AG61+AG62+AG71+AG72+AG76+AG88+AG81+AG83+AG82+AG69+AG89+AG90+AG91+AG70+AG40+AG92</f>
        <v>231911.67161999992</v>
      </c>
      <c r="AH9" s="90">
        <f>AH10+AH15+AH24+AH33+AH47+AH52+AH54+AH61+AH62+AH71+AH72+AH76+AH88+AH81+AH83+AH82+AH69+AH89+AH91+AH90+AH70+AH40+AH92</f>
        <v>67226.42838000007</v>
      </c>
      <c r="AI9" s="133"/>
      <c r="AJ9" s="133"/>
    </row>
    <row r="10" spans="1:36" s="18" customFormat="1" ht="15.75">
      <c r="A10" s="96" t="s">
        <v>4</v>
      </c>
      <c r="B10" s="97">
        <v>18971.4</v>
      </c>
      <c r="C10" s="97">
        <v>5643.699999999997</v>
      </c>
      <c r="D10" s="72"/>
      <c r="E10" s="72">
        <v>247</v>
      </c>
      <c r="F10" s="72">
        <v>44.8</v>
      </c>
      <c r="G10" s="72">
        <v>413.5</v>
      </c>
      <c r="H10" s="72">
        <v>53.4</v>
      </c>
      <c r="I10" s="72">
        <v>25.7</v>
      </c>
      <c r="J10" s="72">
        <v>139.9</v>
      </c>
      <c r="K10" s="70">
        <v>2325.9</v>
      </c>
      <c r="L10" s="72">
        <v>1224.6</v>
      </c>
      <c r="M10" s="72">
        <v>3612.7</v>
      </c>
      <c r="N10" s="72">
        <v>7.2</v>
      </c>
      <c r="O10" s="72">
        <v>24.9</v>
      </c>
      <c r="P10" s="72">
        <v>479.2</v>
      </c>
      <c r="Q10" s="72">
        <v>19.1</v>
      </c>
      <c r="R10" s="72">
        <v>1.8</v>
      </c>
      <c r="S10" s="72">
        <v>1175.5</v>
      </c>
      <c r="T10" s="72">
        <v>45.4</v>
      </c>
      <c r="U10" s="72">
        <v>8006.2</v>
      </c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>
        <f aca="true" t="shared" si="1" ref="AG10:AG59">SUM(D10:AE10)</f>
        <v>17846.8</v>
      </c>
      <c r="AH10" s="72">
        <f>B10+C10-AG10</f>
        <v>6768.299999999999</v>
      </c>
      <c r="AJ10" s="21"/>
    </row>
    <row r="11" spans="1:36" s="140" customFormat="1" ht="15.75">
      <c r="A11" s="137" t="s">
        <v>5</v>
      </c>
      <c r="B11" s="138">
        <v>17936.1</v>
      </c>
      <c r="C11" s="138">
        <v>4435.300000000007</v>
      </c>
      <c r="D11" s="139"/>
      <c r="E11" s="139">
        <v>244.9</v>
      </c>
      <c r="F11" s="139">
        <v>22.5</v>
      </c>
      <c r="G11" s="139">
        <v>122</v>
      </c>
      <c r="H11" s="139"/>
      <c r="I11" s="139"/>
      <c r="J11" s="139">
        <v>32.5</v>
      </c>
      <c r="K11" s="139">
        <f>2213.2+9.1</f>
        <v>2222.2999999999997</v>
      </c>
      <c r="L11" s="139">
        <v>1219</v>
      </c>
      <c r="M11" s="139">
        <v>3586</v>
      </c>
      <c r="N11" s="139"/>
      <c r="O11" s="139"/>
      <c r="P11" s="139">
        <v>360</v>
      </c>
      <c r="Q11" s="139"/>
      <c r="R11" s="139"/>
      <c r="S11" s="139">
        <v>1161.2</v>
      </c>
      <c r="T11" s="139"/>
      <c r="U11" s="139">
        <v>7970.4</v>
      </c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16940.8</v>
      </c>
      <c r="AH11" s="139">
        <f>B11+C11-AG11</f>
        <v>5430.600000000006</v>
      </c>
      <c r="AJ11" s="141"/>
    </row>
    <row r="12" spans="1:36" s="140" customFormat="1" ht="15.75">
      <c r="A12" s="137" t="s">
        <v>2</v>
      </c>
      <c r="B12" s="142">
        <f>94.4-30</f>
        <v>64.4</v>
      </c>
      <c r="C12" s="138">
        <v>18.69999999999999</v>
      </c>
      <c r="D12" s="139"/>
      <c r="E12" s="139"/>
      <c r="F12" s="139"/>
      <c r="G12" s="139">
        <v>52.3</v>
      </c>
      <c r="H12" s="139"/>
      <c r="I12" s="139">
        <v>6.5</v>
      </c>
      <c r="J12" s="139"/>
      <c r="K12" s="139"/>
      <c r="L12" s="139"/>
      <c r="M12" s="139"/>
      <c r="N12" s="139"/>
      <c r="O12" s="139"/>
      <c r="P12" s="139"/>
      <c r="Q12" s="139">
        <v>0.9</v>
      </c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59.699999999999996</v>
      </c>
      <c r="AH12" s="139">
        <f>B12+C12-AG12</f>
        <v>23.4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970.9000000000029</v>
      </c>
      <c r="C14" s="138">
        <v>1189.6999999999905</v>
      </c>
      <c r="D14" s="139">
        <f t="shared" si="2"/>
        <v>0</v>
      </c>
      <c r="E14" s="139">
        <f t="shared" si="2"/>
        <v>2.0999999999999943</v>
      </c>
      <c r="F14" s="139">
        <f t="shared" si="2"/>
        <v>22.299999999999997</v>
      </c>
      <c r="G14" s="139">
        <f t="shared" si="2"/>
        <v>239.2</v>
      </c>
      <c r="H14" s="139">
        <f>H10-H11-H12-H13</f>
        <v>53.4</v>
      </c>
      <c r="I14" s="139">
        <f t="shared" si="2"/>
        <v>19.2</v>
      </c>
      <c r="J14" s="139">
        <f t="shared" si="2"/>
        <v>107.4</v>
      </c>
      <c r="K14" s="139">
        <f t="shared" si="2"/>
        <v>103.60000000000036</v>
      </c>
      <c r="L14" s="139">
        <f t="shared" si="2"/>
        <v>5.599999999999909</v>
      </c>
      <c r="M14" s="139">
        <f t="shared" si="2"/>
        <v>26.699999999999818</v>
      </c>
      <c r="N14" s="139">
        <f t="shared" si="2"/>
        <v>7.2</v>
      </c>
      <c r="O14" s="139">
        <f t="shared" si="2"/>
        <v>24.9</v>
      </c>
      <c r="P14" s="139">
        <f t="shared" si="2"/>
        <v>119.19999999999999</v>
      </c>
      <c r="Q14" s="139">
        <f t="shared" si="2"/>
        <v>18.200000000000003</v>
      </c>
      <c r="R14" s="139">
        <f t="shared" si="2"/>
        <v>1.8</v>
      </c>
      <c r="S14" s="139">
        <f t="shared" si="2"/>
        <v>14.299999999999955</v>
      </c>
      <c r="T14" s="139">
        <f t="shared" si="2"/>
        <v>45.4</v>
      </c>
      <c r="U14" s="139">
        <f t="shared" si="2"/>
        <v>35.80000000000018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846.3000000000001</v>
      </c>
      <c r="AH14" s="139">
        <f>AH10-AH11-AH12-AH13</f>
        <v>1314.2999999999934</v>
      </c>
      <c r="AJ14" s="141"/>
    </row>
    <row r="15" spans="1:36" s="140" customFormat="1" ht="15" customHeight="1">
      <c r="A15" s="143" t="s">
        <v>6</v>
      </c>
      <c r="B15" s="138">
        <f>113508.2+2.3-1603.2-3000</f>
        <v>108907.3</v>
      </c>
      <c r="C15" s="138">
        <v>43415.30000000002</v>
      </c>
      <c r="D15" s="144"/>
      <c r="E15" s="144"/>
      <c r="F15" s="139">
        <f>188.2+2302.2</f>
        <v>2490.3999999999996</v>
      </c>
      <c r="G15" s="139">
        <v>499</v>
      </c>
      <c r="H15" s="139">
        <v>1591.3</v>
      </c>
      <c r="I15" s="139">
        <v>567.9</v>
      </c>
      <c r="J15" s="139">
        <v>115.1</v>
      </c>
      <c r="K15" s="139">
        <v>18723.3</v>
      </c>
      <c r="L15" s="139">
        <f>4498.4+41728.4</f>
        <v>46226.8</v>
      </c>
      <c r="M15" s="139">
        <v>849.5</v>
      </c>
      <c r="N15" s="139">
        <v>425.1</v>
      </c>
      <c r="O15" s="139">
        <v>621.1</v>
      </c>
      <c r="P15" s="139">
        <v>23.4</v>
      </c>
      <c r="Q15" s="139">
        <v>130.9</v>
      </c>
      <c r="R15" s="139">
        <v>1148.2</v>
      </c>
      <c r="S15" s="139">
        <f>15957.3+10871.6</f>
        <v>26828.9</v>
      </c>
      <c r="T15" s="139">
        <v>22012.8</v>
      </c>
      <c r="U15" s="139">
        <v>800.8</v>
      </c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123054.5</v>
      </c>
      <c r="AH15" s="139">
        <f aca="true" t="shared" si="3" ref="AH15:AH31">B15+C15-AG15</f>
        <v>29268.100000000035</v>
      </c>
      <c r="AJ15" s="141"/>
    </row>
    <row r="16" spans="1:36" s="150" customFormat="1" ht="15" customHeight="1">
      <c r="A16" s="145" t="s">
        <v>38</v>
      </c>
      <c r="B16" s="146">
        <v>46764.9</v>
      </c>
      <c r="C16" s="146">
        <v>9099</v>
      </c>
      <c r="D16" s="147"/>
      <c r="E16" s="147"/>
      <c r="F16" s="148">
        <v>2302.2</v>
      </c>
      <c r="G16" s="148"/>
      <c r="H16" s="148"/>
      <c r="I16" s="148"/>
      <c r="J16" s="148"/>
      <c r="K16" s="148"/>
      <c r="L16" s="148">
        <v>41728.4</v>
      </c>
      <c r="M16" s="148">
        <v>13.4</v>
      </c>
      <c r="N16" s="148"/>
      <c r="O16" s="148"/>
      <c r="P16" s="148"/>
      <c r="Q16" s="148"/>
      <c r="R16" s="148"/>
      <c r="S16" s="148">
        <v>10871.6</v>
      </c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54915.6</v>
      </c>
      <c r="AH16" s="147">
        <f t="shared" si="3"/>
        <v>948.3000000000029</v>
      </c>
      <c r="AI16" s="149"/>
      <c r="AJ16" s="141"/>
    </row>
    <row r="17" spans="1:36" s="140" customFormat="1" ht="15.75">
      <c r="A17" s="137" t="s">
        <v>5</v>
      </c>
      <c r="B17" s="138">
        <v>99576.2</v>
      </c>
      <c r="C17" s="138">
        <v>25260.059999999983</v>
      </c>
      <c r="D17" s="139"/>
      <c r="E17" s="139"/>
      <c r="F17" s="139">
        <f>2302.2+162.1</f>
        <v>2464.2999999999997</v>
      </c>
      <c r="G17" s="139"/>
      <c r="H17" s="139"/>
      <c r="I17" s="139"/>
      <c r="J17" s="139"/>
      <c r="K17" s="139">
        <v>18657.4</v>
      </c>
      <c r="L17" s="139">
        <f>3346.3+41728.4</f>
        <v>45074.700000000004</v>
      </c>
      <c r="M17" s="139">
        <v>13.4</v>
      </c>
      <c r="N17" s="139">
        <v>4.5</v>
      </c>
      <c r="O17" s="139"/>
      <c r="P17" s="139"/>
      <c r="Q17" s="139"/>
      <c r="R17" s="139"/>
      <c r="S17" s="139">
        <f>10871.6+15709.6</f>
        <v>26581.2</v>
      </c>
      <c r="T17" s="139">
        <v>21507.2</v>
      </c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114302.7</v>
      </c>
      <c r="AH17" s="139">
        <f t="shared" si="3"/>
        <v>10533.559999999983</v>
      </c>
      <c r="AI17" s="141"/>
      <c r="AJ17" s="141"/>
    </row>
    <row r="18" spans="1:36" s="140" customFormat="1" ht="15.75">
      <c r="A18" s="137" t="s">
        <v>3</v>
      </c>
      <c r="B18" s="138">
        <v>0</v>
      </c>
      <c r="C18" s="138">
        <v>14.700000000000001</v>
      </c>
      <c r="D18" s="139"/>
      <c r="E18" s="139"/>
      <c r="F18" s="139"/>
      <c r="G18" s="139"/>
      <c r="H18" s="139"/>
      <c r="I18" s="139">
        <v>0.1</v>
      </c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0.1</v>
      </c>
      <c r="AH18" s="139">
        <f t="shared" si="3"/>
        <v>14.600000000000001</v>
      </c>
      <c r="AJ18" s="141"/>
    </row>
    <row r="19" spans="1:36" s="140" customFormat="1" ht="15.75">
      <c r="A19" s="137" t="s">
        <v>1</v>
      </c>
      <c r="B19" s="138">
        <v>2131.2</v>
      </c>
      <c r="C19" s="138">
        <v>2625.2999999999984</v>
      </c>
      <c r="D19" s="139"/>
      <c r="E19" s="139"/>
      <c r="F19" s="139"/>
      <c r="G19" s="139">
        <v>334.9</v>
      </c>
      <c r="H19" s="139">
        <v>507.1</v>
      </c>
      <c r="I19" s="139">
        <v>37.5</v>
      </c>
      <c r="J19" s="139">
        <v>42.2</v>
      </c>
      <c r="K19" s="139"/>
      <c r="L19" s="139">
        <v>615.4</v>
      </c>
      <c r="M19" s="139">
        <v>261.9</v>
      </c>
      <c r="N19" s="139">
        <v>63.6</v>
      </c>
      <c r="O19" s="139">
        <v>420</v>
      </c>
      <c r="P19" s="139">
        <v>11.8</v>
      </c>
      <c r="Q19" s="139">
        <v>62.7</v>
      </c>
      <c r="R19" s="139">
        <v>271.9</v>
      </c>
      <c r="S19" s="139"/>
      <c r="T19" s="139">
        <v>339.3</v>
      </c>
      <c r="U19" s="139">
        <v>1.2</v>
      </c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2969.5</v>
      </c>
      <c r="AH19" s="139">
        <f t="shared" si="3"/>
        <v>1786.9999999999982</v>
      </c>
      <c r="AJ19" s="141"/>
    </row>
    <row r="20" spans="1:36" s="140" customFormat="1" ht="15.75">
      <c r="A20" s="137" t="s">
        <v>2</v>
      </c>
      <c r="B20" s="138">
        <f>7677.9-1603.2-1801.7-3000</f>
        <v>1273</v>
      </c>
      <c r="C20" s="138">
        <v>8108.699999999996</v>
      </c>
      <c r="D20" s="139"/>
      <c r="E20" s="139"/>
      <c r="F20" s="139">
        <v>26.1</v>
      </c>
      <c r="G20" s="139">
        <v>153.5</v>
      </c>
      <c r="H20" s="139">
        <v>791.4</v>
      </c>
      <c r="I20" s="139">
        <v>33.6</v>
      </c>
      <c r="J20" s="139">
        <v>60.7</v>
      </c>
      <c r="K20" s="139">
        <v>1.7</v>
      </c>
      <c r="L20" s="139">
        <v>401.1</v>
      </c>
      <c r="M20" s="139">
        <v>68.1</v>
      </c>
      <c r="N20" s="139">
        <v>24.8</v>
      </c>
      <c r="O20" s="139">
        <f>4.6+1</f>
        <v>5.6</v>
      </c>
      <c r="P20" s="139">
        <v>8</v>
      </c>
      <c r="Q20" s="139">
        <v>29.5</v>
      </c>
      <c r="R20" s="139">
        <v>15</v>
      </c>
      <c r="S20" s="139">
        <v>11.6</v>
      </c>
      <c r="T20" s="139">
        <v>51.3</v>
      </c>
      <c r="U20" s="139">
        <v>0.2</v>
      </c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1682.1999999999996</v>
      </c>
      <c r="AH20" s="139">
        <f t="shared" si="3"/>
        <v>7699.499999999997</v>
      </c>
      <c r="AJ20" s="141"/>
    </row>
    <row r="21" spans="1:36" s="140" customFormat="1" ht="15.75">
      <c r="A21" s="137" t="s">
        <v>16</v>
      </c>
      <c r="B21" s="138">
        <f>979.8+2.3</f>
        <v>982.0999999999999</v>
      </c>
      <c r="C21" s="138">
        <v>761.5999999999999</v>
      </c>
      <c r="D21" s="139"/>
      <c r="E21" s="139"/>
      <c r="F21" s="139"/>
      <c r="G21" s="139"/>
      <c r="H21" s="139"/>
      <c r="I21" s="139"/>
      <c r="J21" s="139">
        <v>11.5</v>
      </c>
      <c r="K21" s="139"/>
      <c r="L21" s="139"/>
      <c r="M21" s="139">
        <v>502</v>
      </c>
      <c r="N21" s="139">
        <v>21</v>
      </c>
      <c r="O21" s="139"/>
      <c r="P21" s="139"/>
      <c r="Q21" s="139"/>
      <c r="R21" s="139">
        <v>253.6</v>
      </c>
      <c r="S21" s="139">
        <v>228.1</v>
      </c>
      <c r="T21" s="139"/>
      <c r="U21" s="139">
        <v>113.2</v>
      </c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1129.4</v>
      </c>
      <c r="AH21" s="139">
        <f t="shared" si="3"/>
        <v>614.2999999999997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4944.800000000007</v>
      </c>
      <c r="C23" s="138">
        <v>6644.940000000013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-9.237055564881302E-14</v>
      </c>
      <c r="G23" s="139">
        <f t="shared" si="4"/>
        <v>10.600000000000023</v>
      </c>
      <c r="H23" s="139">
        <f>H15-H17-H18-H19-H20-H21-H22</f>
        <v>292.79999999999984</v>
      </c>
      <c r="I23" s="139">
        <f t="shared" si="4"/>
        <v>496.69999999999993</v>
      </c>
      <c r="J23" s="139">
        <f t="shared" si="4"/>
        <v>0.6999999999999886</v>
      </c>
      <c r="K23" s="139">
        <f t="shared" si="4"/>
        <v>64.19999999999781</v>
      </c>
      <c r="L23" s="139">
        <f t="shared" si="4"/>
        <v>135.59999999999854</v>
      </c>
      <c r="M23" s="139">
        <f t="shared" si="4"/>
        <v>4.100000000000023</v>
      </c>
      <c r="N23" s="139">
        <f t="shared" si="4"/>
        <v>311.2</v>
      </c>
      <c r="O23" s="139">
        <f t="shared" si="4"/>
        <v>195.50000000000003</v>
      </c>
      <c r="P23" s="139">
        <f t="shared" si="4"/>
        <v>3.599999999999998</v>
      </c>
      <c r="Q23" s="139">
        <f t="shared" si="4"/>
        <v>38.7</v>
      </c>
      <c r="R23" s="139">
        <f t="shared" si="4"/>
        <v>607.7</v>
      </c>
      <c r="S23" s="139">
        <f t="shared" si="4"/>
        <v>8.000000000000739</v>
      </c>
      <c r="T23" s="139">
        <f t="shared" si="4"/>
        <v>114.99999999999854</v>
      </c>
      <c r="U23" s="139">
        <f t="shared" si="4"/>
        <v>686.1999999999998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2970.5999999999954</v>
      </c>
      <c r="AH23" s="139">
        <f>B23+C23-AG23</f>
        <v>8619.140000000025</v>
      </c>
      <c r="AJ23" s="141"/>
    </row>
    <row r="24" spans="1:36" s="140" customFormat="1" ht="15" customHeight="1">
      <c r="A24" s="143" t="s">
        <v>7</v>
      </c>
      <c r="B24" s="138">
        <f>38587-6554-321.5+680.4+0.2</f>
        <v>32392.100000000002</v>
      </c>
      <c r="C24" s="138">
        <v>15127.600000000006</v>
      </c>
      <c r="D24" s="139"/>
      <c r="E24" s="139"/>
      <c r="F24" s="139">
        <v>124.1</v>
      </c>
      <c r="G24" s="139">
        <v>88.2</v>
      </c>
      <c r="H24" s="139"/>
      <c r="I24" s="139">
        <f>465.537+2379.1</f>
        <v>2844.6369999999997</v>
      </c>
      <c r="J24" s="139">
        <v>2.5</v>
      </c>
      <c r="K24" s="139">
        <f>781.8+7929.5</f>
        <v>8711.3</v>
      </c>
      <c r="L24" s="139">
        <v>2777.4</v>
      </c>
      <c r="M24" s="139"/>
      <c r="N24" s="139">
        <v>2069.6</v>
      </c>
      <c r="O24" s="139">
        <f>0.4+7.6</f>
        <v>8</v>
      </c>
      <c r="P24" s="139"/>
      <c r="Q24" s="139"/>
      <c r="R24" s="139">
        <f>55.2+549.6</f>
        <v>604.8000000000001</v>
      </c>
      <c r="S24" s="139">
        <f>6132.1+3997.5</f>
        <v>10129.6</v>
      </c>
      <c r="T24" s="139">
        <f>7281</f>
        <v>7281</v>
      </c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34641.136999999995</v>
      </c>
      <c r="AH24" s="139">
        <f t="shared" si="3"/>
        <v>12878.563000000016</v>
      </c>
      <c r="AJ24" s="141"/>
    </row>
    <row r="25" spans="1:36" s="150" customFormat="1" ht="15" customHeight="1">
      <c r="A25" s="145" t="s">
        <v>39</v>
      </c>
      <c r="B25" s="146">
        <f>17137.9+0.2</f>
        <v>17138.100000000002</v>
      </c>
      <c r="C25" s="146">
        <v>199.40000000000146</v>
      </c>
      <c r="D25" s="148"/>
      <c r="E25" s="148"/>
      <c r="F25" s="148">
        <v>124.1</v>
      </c>
      <c r="G25" s="148"/>
      <c r="H25" s="148"/>
      <c r="I25" s="148">
        <v>465.5</v>
      </c>
      <c r="J25" s="148"/>
      <c r="K25" s="148">
        <v>7929.5</v>
      </c>
      <c r="L25" s="148">
        <v>2777.4</v>
      </c>
      <c r="M25" s="148"/>
      <c r="N25" s="148">
        <v>1429.6</v>
      </c>
      <c r="O25" s="148">
        <v>7.6</v>
      </c>
      <c r="P25" s="148"/>
      <c r="Q25" s="148"/>
      <c r="R25" s="148">
        <v>549.6</v>
      </c>
      <c r="S25" s="148">
        <v>3997.5</v>
      </c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17280.800000000003</v>
      </c>
      <c r="AH25" s="147">
        <f t="shared" si="3"/>
        <v>56.70000000000073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f>90.9+42.4</f>
        <v>133.3</v>
      </c>
      <c r="C30" s="138">
        <v>63.90000000000002</v>
      </c>
      <c r="D30" s="139"/>
      <c r="E30" s="139"/>
      <c r="F30" s="139"/>
      <c r="G30" s="139">
        <v>88.2</v>
      </c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>
        <v>109</v>
      </c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197.2</v>
      </c>
      <c r="AH30" s="139">
        <f t="shared" si="3"/>
        <v>0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32258.800000000003</v>
      </c>
      <c r="C32" s="138">
        <v>15063.700000000006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124.1</v>
      </c>
      <c r="G32" s="139">
        <f t="shared" si="5"/>
        <v>0</v>
      </c>
      <c r="H32" s="139">
        <f>H24-H26-H27-H28-H29-H30-H31</f>
        <v>0</v>
      </c>
      <c r="I32" s="139">
        <f t="shared" si="5"/>
        <v>2844.6369999999997</v>
      </c>
      <c r="J32" s="139">
        <f t="shared" si="5"/>
        <v>2.5</v>
      </c>
      <c r="K32" s="139">
        <f t="shared" si="5"/>
        <v>8711.3</v>
      </c>
      <c r="L32" s="139">
        <f t="shared" si="5"/>
        <v>2777.4</v>
      </c>
      <c r="M32" s="139">
        <f t="shared" si="5"/>
        <v>0</v>
      </c>
      <c r="N32" s="139">
        <f t="shared" si="5"/>
        <v>2069.6</v>
      </c>
      <c r="O32" s="139">
        <f t="shared" si="5"/>
        <v>8</v>
      </c>
      <c r="P32" s="139">
        <f t="shared" si="5"/>
        <v>0</v>
      </c>
      <c r="Q32" s="139">
        <f t="shared" si="5"/>
        <v>0</v>
      </c>
      <c r="R32" s="139">
        <f t="shared" si="5"/>
        <v>604.8000000000001</v>
      </c>
      <c r="S32" s="139">
        <f t="shared" si="5"/>
        <v>10020.6</v>
      </c>
      <c r="T32" s="139">
        <f t="shared" si="5"/>
        <v>7281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34443.937</v>
      </c>
      <c r="AH32" s="139">
        <f>AH24-AH30</f>
        <v>12878.563000000016</v>
      </c>
      <c r="AJ32" s="141"/>
    </row>
    <row r="33" spans="1:36" s="140" customFormat="1" ht="15" customHeight="1">
      <c r="A33" s="143" t="s">
        <v>8</v>
      </c>
      <c r="B33" s="138">
        <v>2278.8</v>
      </c>
      <c r="C33" s="138">
        <v>635.0000000000001</v>
      </c>
      <c r="D33" s="139"/>
      <c r="E33" s="139"/>
      <c r="F33" s="139"/>
      <c r="G33" s="139"/>
      <c r="H33" s="139">
        <v>7.3</v>
      </c>
      <c r="I33" s="139"/>
      <c r="J33" s="139"/>
      <c r="K33" s="139"/>
      <c r="L33" s="139">
        <v>105</v>
      </c>
      <c r="M33" s="139"/>
      <c r="N33" s="139"/>
      <c r="O33" s="139"/>
      <c r="P33" s="139">
        <v>495.2</v>
      </c>
      <c r="Q33" s="139"/>
      <c r="R33" s="139">
        <v>130.9</v>
      </c>
      <c r="S33" s="139">
        <v>134.1</v>
      </c>
      <c r="T33" s="139">
        <v>450.8</v>
      </c>
      <c r="U33" s="139">
        <v>421.5</v>
      </c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1744.8</v>
      </c>
      <c r="AH33" s="139">
        <f aca="true" t="shared" si="6" ref="AH33:AH38">B33+C33-AG33</f>
        <v>1169.0000000000002</v>
      </c>
      <c r="AJ33" s="141"/>
    </row>
    <row r="34" spans="1:36" s="140" customFormat="1" ht="15.75">
      <c r="A34" s="137" t="s">
        <v>5</v>
      </c>
      <c r="B34" s="138">
        <v>346.6</v>
      </c>
      <c r="C34" s="138">
        <v>28.899999999999977</v>
      </c>
      <c r="D34" s="139"/>
      <c r="E34" s="139"/>
      <c r="F34" s="139"/>
      <c r="G34" s="139"/>
      <c r="H34" s="139"/>
      <c r="I34" s="139"/>
      <c r="J34" s="139"/>
      <c r="K34" s="139"/>
      <c r="L34" s="139">
        <v>102</v>
      </c>
      <c r="M34" s="139"/>
      <c r="N34" s="139"/>
      <c r="O34" s="139"/>
      <c r="P34" s="139"/>
      <c r="Q34" s="139"/>
      <c r="R34" s="139">
        <v>130.9</v>
      </c>
      <c r="S34" s="139">
        <v>94.1</v>
      </c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327</v>
      </c>
      <c r="AH34" s="139">
        <f t="shared" si="6"/>
        <v>48.5</v>
      </c>
      <c r="AJ34" s="141"/>
    </row>
    <row r="35" spans="1:36" s="140" customFormat="1" ht="15.75">
      <c r="A35" s="137" t="s">
        <v>1</v>
      </c>
      <c r="B35" s="138"/>
      <c r="C35" s="138">
        <v>420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>
        <v>351.5</v>
      </c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351.5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73.9</v>
      </c>
      <c r="D36" s="139"/>
      <c r="E36" s="139"/>
      <c r="F36" s="139"/>
      <c r="G36" s="139"/>
      <c r="H36" s="139">
        <v>7</v>
      </c>
      <c r="I36" s="139"/>
      <c r="J36" s="139"/>
      <c r="K36" s="139"/>
      <c r="L36" s="139">
        <v>0.8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7.8</v>
      </c>
      <c r="AH36" s="139">
        <f t="shared" si="6"/>
        <v>70.4</v>
      </c>
      <c r="AJ36" s="141"/>
    </row>
    <row r="37" spans="1:36" s="140" customFormat="1" ht="15.75">
      <c r="A37" s="137" t="s">
        <v>16</v>
      </c>
      <c r="B37" s="138">
        <v>1713.7</v>
      </c>
      <c r="C37" s="138">
        <v>0</v>
      </c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>
        <v>494.9</v>
      </c>
      <c r="Q37" s="139"/>
      <c r="R37" s="139"/>
      <c r="S37" s="139"/>
      <c r="T37" s="139">
        <v>450.8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945.7</v>
      </c>
      <c r="AH37" s="139">
        <f t="shared" si="6"/>
        <v>768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214.20000000000027</v>
      </c>
      <c r="C39" s="138">
        <v>112.20000000000016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0.2999999999999998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2.2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0.30000000000001137</v>
      </c>
      <c r="Q39" s="139">
        <f t="shared" si="7"/>
        <v>0</v>
      </c>
      <c r="R39" s="139">
        <f t="shared" si="7"/>
        <v>0</v>
      </c>
      <c r="S39" s="139">
        <f t="shared" si="7"/>
        <v>40</v>
      </c>
      <c r="T39" s="139">
        <f t="shared" si="7"/>
        <v>0</v>
      </c>
      <c r="U39" s="139">
        <f t="shared" si="7"/>
        <v>70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112.80000000000001</v>
      </c>
      <c r="AH39" s="139">
        <f>AH33-AH34-AH36-AH38-AH35-AH37</f>
        <v>213.60000000000014</v>
      </c>
      <c r="AJ39" s="141"/>
    </row>
    <row r="40" spans="1:36" s="140" customFormat="1" ht="15" customHeight="1">
      <c r="A40" s="143" t="s">
        <v>29</v>
      </c>
      <c r="B40" s="138">
        <f>1375.3+33.6</f>
        <v>1408.8999999999999</v>
      </c>
      <c r="C40" s="138">
        <v>326.4000000000003</v>
      </c>
      <c r="D40" s="139"/>
      <c r="E40" s="139"/>
      <c r="F40" s="139"/>
      <c r="G40" s="139">
        <v>10.5</v>
      </c>
      <c r="H40" s="139"/>
      <c r="I40" s="139"/>
      <c r="J40" s="139"/>
      <c r="K40" s="139">
        <v>475.1</v>
      </c>
      <c r="L40" s="139"/>
      <c r="M40" s="139"/>
      <c r="N40" s="139"/>
      <c r="O40" s="139"/>
      <c r="P40" s="139"/>
      <c r="Q40" s="139"/>
      <c r="R40" s="139">
        <v>926.2</v>
      </c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1411.8000000000002</v>
      </c>
      <c r="AH40" s="139">
        <f aca="true" t="shared" si="8" ref="AH40:AH45">B40+C40-AG40</f>
        <v>323.5</v>
      </c>
      <c r="AJ40" s="141"/>
    </row>
    <row r="41" spans="1:36" s="140" customFormat="1" ht="15.75">
      <c r="A41" s="137" t="s">
        <v>5</v>
      </c>
      <c r="B41" s="138">
        <v>1322.6</v>
      </c>
      <c r="C41" s="138">
        <v>152.1999999999996</v>
      </c>
      <c r="D41" s="139"/>
      <c r="E41" s="139"/>
      <c r="F41" s="139"/>
      <c r="G41" s="139"/>
      <c r="H41" s="139"/>
      <c r="I41" s="139"/>
      <c r="J41" s="139"/>
      <c r="K41" s="139">
        <v>449.3</v>
      </c>
      <c r="L41" s="139"/>
      <c r="M41" s="139"/>
      <c r="N41" s="139"/>
      <c r="O41" s="139"/>
      <c r="P41" s="139"/>
      <c r="Q41" s="139"/>
      <c r="R41" s="139">
        <v>922.6</v>
      </c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1371.9</v>
      </c>
      <c r="AH41" s="139">
        <f t="shared" si="8"/>
        <v>102.89999999999941</v>
      </c>
      <c r="AI41" s="141"/>
      <c r="AJ41" s="141"/>
    </row>
    <row r="42" spans="1:36" s="140" customFormat="1" ht="15.75">
      <c r="A42" s="137" t="s">
        <v>3</v>
      </c>
      <c r="B42" s="138">
        <v>0</v>
      </c>
      <c r="C42" s="138">
        <v>0.9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</v>
      </c>
      <c r="AH42" s="139">
        <f t="shared" si="8"/>
        <v>0.9</v>
      </c>
      <c r="AJ42" s="141"/>
    </row>
    <row r="43" spans="1:36" s="140" customFormat="1" ht="15.75">
      <c r="A43" s="137" t="s">
        <v>1</v>
      </c>
      <c r="B43" s="138">
        <v>10.8</v>
      </c>
      <c r="C43" s="138">
        <v>3.8000000000000025</v>
      </c>
      <c r="D43" s="139"/>
      <c r="E43" s="139"/>
      <c r="F43" s="139"/>
      <c r="G43" s="139"/>
      <c r="H43" s="139"/>
      <c r="I43" s="139"/>
      <c r="J43" s="139"/>
      <c r="K43" s="139">
        <v>10.6</v>
      </c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10.6</v>
      </c>
      <c r="AH43" s="139">
        <f t="shared" si="8"/>
        <v>4.0000000000000036</v>
      </c>
      <c r="AJ43" s="141"/>
    </row>
    <row r="44" spans="1:36" s="140" customFormat="1" ht="15.75">
      <c r="A44" s="137" t="s">
        <v>2</v>
      </c>
      <c r="B44" s="138">
        <v>8.3</v>
      </c>
      <c r="C44" s="138">
        <v>160.50000000000006</v>
      </c>
      <c r="D44" s="139"/>
      <c r="E44" s="139"/>
      <c r="F44" s="139"/>
      <c r="G44" s="139">
        <v>3.9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3.9</v>
      </c>
      <c r="AH44" s="139">
        <f t="shared" si="8"/>
        <v>164.90000000000006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67.19999999999996</v>
      </c>
      <c r="C46" s="138">
        <v>9.000000000000654</v>
      </c>
      <c r="D46" s="139">
        <f t="shared" si="9"/>
        <v>0</v>
      </c>
      <c r="E46" s="139">
        <f t="shared" si="9"/>
        <v>0</v>
      </c>
      <c r="F46" s="139">
        <f t="shared" si="9"/>
        <v>0</v>
      </c>
      <c r="G46" s="139">
        <f t="shared" si="9"/>
        <v>6.6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15.200000000000012</v>
      </c>
      <c r="L46" s="139">
        <f t="shared" si="9"/>
        <v>0</v>
      </c>
      <c r="M46" s="139">
        <f t="shared" si="9"/>
        <v>0</v>
      </c>
      <c r="N46" s="139">
        <f t="shared" si="9"/>
        <v>0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3.6000000000000227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25.400000000000034</v>
      </c>
      <c r="AH46" s="139">
        <f>AH40-AH41-AH42-AH43-AH44-AH45</f>
        <v>50.80000000000052</v>
      </c>
      <c r="AJ46" s="141"/>
    </row>
    <row r="47" spans="1:36" s="140" customFormat="1" ht="17.25" customHeight="1">
      <c r="A47" s="143" t="s">
        <v>43</v>
      </c>
      <c r="B47" s="142">
        <f>8722.9+7.6-1900</f>
        <v>6830.5</v>
      </c>
      <c r="C47" s="138">
        <v>2101.7000000000016</v>
      </c>
      <c r="D47" s="139"/>
      <c r="E47" s="152"/>
      <c r="F47" s="152">
        <v>55.4</v>
      </c>
      <c r="G47" s="152">
        <v>2219.8</v>
      </c>
      <c r="H47" s="152">
        <v>21.1</v>
      </c>
      <c r="I47" s="152">
        <v>622.2</v>
      </c>
      <c r="J47" s="152">
        <v>60.7</v>
      </c>
      <c r="K47" s="152"/>
      <c r="L47" s="152"/>
      <c r="M47" s="152">
        <v>180.9</v>
      </c>
      <c r="N47" s="152">
        <v>79.2</v>
      </c>
      <c r="O47" s="152">
        <v>0.6</v>
      </c>
      <c r="P47" s="152">
        <v>1710.9</v>
      </c>
      <c r="Q47" s="152">
        <v>116.5</v>
      </c>
      <c r="R47" s="152">
        <v>38.5</v>
      </c>
      <c r="S47" s="152">
        <v>30.7</v>
      </c>
      <c r="T47" s="152">
        <v>610.3</v>
      </c>
      <c r="U47" s="152">
        <v>196.5</v>
      </c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5943.299999999999</v>
      </c>
      <c r="AH47" s="139">
        <f>B47+C47-AG47</f>
        <v>2988.9000000000015</v>
      </c>
      <c r="AJ47" s="141"/>
    </row>
    <row r="48" spans="1:36" s="140" customFormat="1" ht="15.75">
      <c r="A48" s="137" t="s">
        <v>5</v>
      </c>
      <c r="B48" s="138">
        <v>54.4</v>
      </c>
      <c r="C48" s="138">
        <v>97.40000000000003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>
        <v>27</v>
      </c>
      <c r="N48" s="152"/>
      <c r="O48" s="152"/>
      <c r="P48" s="152"/>
      <c r="Q48" s="152"/>
      <c r="R48" s="152"/>
      <c r="S48" s="152"/>
      <c r="T48" s="152"/>
      <c r="U48" s="152">
        <v>20.5</v>
      </c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47.5</v>
      </c>
      <c r="AH48" s="139">
        <f>B48+C48-AG48</f>
        <v>104.30000000000004</v>
      </c>
      <c r="AJ48" s="141"/>
    </row>
    <row r="49" spans="1:36" s="140" customFormat="1" ht="15.75">
      <c r="A49" s="137" t="s">
        <v>16</v>
      </c>
      <c r="B49" s="138">
        <f>7342.7+7.6-1900</f>
        <v>5450.3</v>
      </c>
      <c r="C49" s="138">
        <v>1267.5000000000027</v>
      </c>
      <c r="D49" s="139"/>
      <c r="E49" s="139"/>
      <c r="F49" s="139"/>
      <c r="G49" s="139">
        <v>2219.7</v>
      </c>
      <c r="H49" s="139"/>
      <c r="I49" s="139">
        <v>82.3</v>
      </c>
      <c r="J49" s="139">
        <f>9+44.4</f>
        <v>53.4</v>
      </c>
      <c r="K49" s="139"/>
      <c r="L49" s="139"/>
      <c r="M49" s="139">
        <v>153.9</v>
      </c>
      <c r="N49" s="139">
        <v>45.7</v>
      </c>
      <c r="O49" s="139"/>
      <c r="P49" s="139">
        <v>1710.9</v>
      </c>
      <c r="Q49" s="139">
        <v>42.2</v>
      </c>
      <c r="R49" s="139">
        <v>24.3</v>
      </c>
      <c r="S49" s="139">
        <f>12.9+4.5</f>
        <v>17.4</v>
      </c>
      <c r="T49" s="139">
        <v>70.5</v>
      </c>
      <c r="U49" s="139">
        <v>176</v>
      </c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4596.299999999999</v>
      </c>
      <c r="AH49" s="139">
        <f>B49+C49-AG49</f>
        <v>2121.5000000000036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1325.8000000000002</v>
      </c>
      <c r="C51" s="138">
        <v>736.7999999999988</v>
      </c>
      <c r="D51" s="139">
        <f t="shared" si="10"/>
        <v>0</v>
      </c>
      <c r="E51" s="139">
        <f t="shared" si="10"/>
        <v>0</v>
      </c>
      <c r="F51" s="139">
        <f t="shared" si="10"/>
        <v>55.4</v>
      </c>
      <c r="G51" s="139">
        <f t="shared" si="10"/>
        <v>0.1000000000003638</v>
      </c>
      <c r="H51" s="139">
        <f>H47-H48-H49</f>
        <v>21.1</v>
      </c>
      <c r="I51" s="139">
        <f t="shared" si="10"/>
        <v>539.9000000000001</v>
      </c>
      <c r="J51" s="139">
        <f t="shared" si="10"/>
        <v>7.300000000000004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33.5</v>
      </c>
      <c r="O51" s="139">
        <f t="shared" si="10"/>
        <v>0.6</v>
      </c>
      <c r="P51" s="139">
        <f t="shared" si="10"/>
        <v>0</v>
      </c>
      <c r="Q51" s="139">
        <f t="shared" si="10"/>
        <v>74.3</v>
      </c>
      <c r="R51" s="139">
        <f t="shared" si="10"/>
        <v>14.2</v>
      </c>
      <c r="S51" s="139">
        <f t="shared" si="10"/>
        <v>13.3</v>
      </c>
      <c r="T51" s="139">
        <f t="shared" si="10"/>
        <v>539.8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1299.5000000000005</v>
      </c>
      <c r="AH51" s="139">
        <f>AH47-AH49-AH48</f>
        <v>763.0999999999977</v>
      </c>
      <c r="AJ51" s="141"/>
    </row>
    <row r="52" spans="1:36" s="140" customFormat="1" ht="15" customHeight="1">
      <c r="A52" s="143" t="s">
        <v>0</v>
      </c>
      <c r="B52" s="138">
        <f>9196.1-140-760+1174-895</f>
        <v>8575.1</v>
      </c>
      <c r="C52" s="138">
        <v>2021.4999999999964</v>
      </c>
      <c r="D52" s="139"/>
      <c r="E52" s="139"/>
      <c r="F52" s="139"/>
      <c r="G52" s="139">
        <v>2164.2</v>
      </c>
      <c r="H52" s="139">
        <v>954.8</v>
      </c>
      <c r="I52" s="139"/>
      <c r="J52" s="139"/>
      <c r="K52" s="139">
        <v>1228.8</v>
      </c>
      <c r="L52" s="139">
        <v>864.1</v>
      </c>
      <c r="M52" s="139">
        <v>150.9</v>
      </c>
      <c r="N52" s="139"/>
      <c r="O52" s="139"/>
      <c r="P52" s="139"/>
      <c r="Q52" s="139">
        <v>537.9</v>
      </c>
      <c r="R52" s="139">
        <v>202.2</v>
      </c>
      <c r="S52" s="139">
        <v>1664.5</v>
      </c>
      <c r="T52" s="139">
        <v>-161</v>
      </c>
      <c r="U52" s="139">
        <v>3.2</v>
      </c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7609.599999999999</v>
      </c>
      <c r="AH52" s="139">
        <f aca="true" t="shared" si="11" ref="AH52:AH59">B52+C52-AG52</f>
        <v>2986.9999999999973</v>
      </c>
      <c r="AJ52" s="141"/>
    </row>
    <row r="53" spans="1:36" s="140" customFormat="1" ht="15" customHeight="1">
      <c r="A53" s="137" t="s">
        <v>2</v>
      </c>
      <c r="B53" s="138">
        <f>1042.3+60</f>
        <v>1102.3</v>
      </c>
      <c r="C53" s="138">
        <v>152.59999999999968</v>
      </c>
      <c r="D53" s="139"/>
      <c r="E53" s="139"/>
      <c r="F53" s="139"/>
      <c r="G53" s="139"/>
      <c r="H53" s="139">
        <v>907.4</v>
      </c>
      <c r="I53" s="139"/>
      <c r="J53" s="139"/>
      <c r="K53" s="139">
        <v>167.5</v>
      </c>
      <c r="L53" s="139"/>
      <c r="M53" s="139">
        <v>105.4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1180.3000000000002</v>
      </c>
      <c r="AH53" s="139">
        <f t="shared" si="11"/>
        <v>74.59999999999945</v>
      </c>
      <c r="AJ53" s="141"/>
    </row>
    <row r="54" spans="1:36" s="140" customFormat="1" ht="15" customHeight="1">
      <c r="A54" s="143" t="s">
        <v>9</v>
      </c>
      <c r="B54" s="151">
        <v>1962.1</v>
      </c>
      <c r="C54" s="138">
        <v>1210.5</v>
      </c>
      <c r="D54" s="139"/>
      <c r="E54" s="139"/>
      <c r="F54" s="139">
        <v>185.8</v>
      </c>
      <c r="G54" s="139"/>
      <c r="H54" s="139">
        <v>299.1</v>
      </c>
      <c r="I54" s="139"/>
      <c r="J54" s="139"/>
      <c r="K54" s="139"/>
      <c r="L54" s="139"/>
      <c r="M54" s="139">
        <f>484.9</f>
        <v>484.9</v>
      </c>
      <c r="N54" s="139"/>
      <c r="O54" s="139">
        <v>0.1</v>
      </c>
      <c r="P54" s="139">
        <v>137</v>
      </c>
      <c r="Q54" s="139">
        <v>69.6</v>
      </c>
      <c r="R54" s="139"/>
      <c r="S54" s="139">
        <v>800.9</v>
      </c>
      <c r="T54" s="139">
        <v>7.9</v>
      </c>
      <c r="U54" s="139">
        <v>19.1</v>
      </c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2004.4</v>
      </c>
      <c r="AH54" s="139">
        <f t="shared" si="11"/>
        <v>1168.1999999999998</v>
      </c>
      <c r="AI54" s="141"/>
      <c r="AJ54" s="141"/>
    </row>
    <row r="55" spans="1:36" s="140" customFormat="1" ht="15.75">
      <c r="A55" s="137" t="s">
        <v>5</v>
      </c>
      <c r="B55" s="138">
        <f>1314.5-1.8</f>
        <v>1312.7</v>
      </c>
      <c r="C55" s="138">
        <v>223.39999999999986</v>
      </c>
      <c r="D55" s="139"/>
      <c r="E55" s="139"/>
      <c r="F55" s="139"/>
      <c r="G55" s="139"/>
      <c r="H55" s="139">
        <v>100.6</v>
      </c>
      <c r="I55" s="139"/>
      <c r="J55" s="139"/>
      <c r="K55" s="139"/>
      <c r="L55" s="139"/>
      <c r="M55" s="139">
        <f>396.6-0.2</f>
        <v>396.40000000000003</v>
      </c>
      <c r="N55" s="139"/>
      <c r="O55" s="139"/>
      <c r="P55" s="139"/>
      <c r="Q55" s="139">
        <v>1.8</v>
      </c>
      <c r="R55" s="139"/>
      <c r="S55" s="139">
        <v>800.9</v>
      </c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1299.7</v>
      </c>
      <c r="AH55" s="139">
        <f t="shared" si="11"/>
        <v>236.39999999999986</v>
      </c>
      <c r="AI55" s="141"/>
      <c r="AJ55" s="141"/>
    </row>
    <row r="56" spans="1:36" s="140" customFormat="1" ht="15" customHeight="1">
      <c r="A56" s="137" t="s">
        <v>1</v>
      </c>
      <c r="B56" s="138">
        <v>0</v>
      </c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f>18.3+1.8+0.3</f>
        <v>20.400000000000002</v>
      </c>
      <c r="C57" s="138">
        <v>239.19999999999993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>
        <v>70</v>
      </c>
      <c r="N57" s="139"/>
      <c r="O57" s="139">
        <v>0.1</v>
      </c>
      <c r="P57" s="139"/>
      <c r="Q57" s="139"/>
      <c r="R57" s="139"/>
      <c r="S57" s="139"/>
      <c r="T57" s="139">
        <v>0.7</v>
      </c>
      <c r="U57" s="139">
        <v>1.9</v>
      </c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72.7</v>
      </c>
      <c r="AH57" s="139">
        <f t="shared" si="11"/>
        <v>186.89999999999992</v>
      </c>
      <c r="AJ57" s="141"/>
    </row>
    <row r="58" spans="1:36" s="140" customFormat="1" ht="15.75">
      <c r="A58" s="137" t="s">
        <v>16</v>
      </c>
      <c r="B58" s="142">
        <v>7</v>
      </c>
      <c r="C58" s="138">
        <v>55.49999999999999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>
        <v>8.7</v>
      </c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8.7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621.9999999999999</v>
      </c>
      <c r="C60" s="138">
        <v>692.4000000000002</v>
      </c>
      <c r="D60" s="139">
        <f t="shared" si="12"/>
        <v>0</v>
      </c>
      <c r="E60" s="139">
        <f t="shared" si="12"/>
        <v>0</v>
      </c>
      <c r="F60" s="139">
        <f t="shared" si="12"/>
        <v>185.8</v>
      </c>
      <c r="G60" s="139">
        <f t="shared" si="12"/>
        <v>0</v>
      </c>
      <c r="H60" s="139">
        <f>H54-H55-H57-H59-H56-H58</f>
        <v>198.50000000000003</v>
      </c>
      <c r="I60" s="139">
        <f t="shared" si="12"/>
        <v>0</v>
      </c>
      <c r="J60" s="139">
        <f t="shared" si="12"/>
        <v>0</v>
      </c>
      <c r="K60" s="139">
        <f t="shared" si="12"/>
        <v>0</v>
      </c>
      <c r="L60" s="139">
        <f t="shared" si="12"/>
        <v>0</v>
      </c>
      <c r="M60" s="139">
        <f t="shared" si="12"/>
        <v>18.499999999999943</v>
      </c>
      <c r="N60" s="139">
        <f t="shared" si="12"/>
        <v>0</v>
      </c>
      <c r="O60" s="139">
        <f t="shared" si="12"/>
        <v>0</v>
      </c>
      <c r="P60" s="139">
        <f t="shared" si="12"/>
        <v>137</v>
      </c>
      <c r="Q60" s="139">
        <f t="shared" si="12"/>
        <v>59.099999999999994</v>
      </c>
      <c r="R60" s="139">
        <f t="shared" si="12"/>
        <v>0</v>
      </c>
      <c r="S60" s="139">
        <f t="shared" si="12"/>
        <v>0</v>
      </c>
      <c r="T60" s="139">
        <f t="shared" si="12"/>
        <v>7.2</v>
      </c>
      <c r="U60" s="139">
        <f t="shared" si="12"/>
        <v>17.200000000000003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623.3</v>
      </c>
      <c r="AH60" s="139">
        <f>AH54-AH55-AH57-AH59-AH56-AH58</f>
        <v>691.1000000000001</v>
      </c>
      <c r="AJ60" s="141"/>
    </row>
    <row r="61" spans="1:36" s="140" customFormat="1" ht="15" customHeight="1">
      <c r="A61" s="143" t="s">
        <v>10</v>
      </c>
      <c r="B61" s="138">
        <v>89</v>
      </c>
      <c r="C61" s="138">
        <v>33.69999999999999</v>
      </c>
      <c r="D61" s="139"/>
      <c r="E61" s="139"/>
      <c r="F61" s="139"/>
      <c r="G61" s="139">
        <v>16.2</v>
      </c>
      <c r="H61" s="139"/>
      <c r="I61" s="139">
        <v>27.7</v>
      </c>
      <c r="J61" s="139">
        <v>2</v>
      </c>
      <c r="K61" s="139">
        <v>2</v>
      </c>
      <c r="L61" s="139"/>
      <c r="M61" s="139"/>
      <c r="N61" s="139">
        <v>2</v>
      </c>
      <c r="O61" s="139"/>
      <c r="P61" s="139"/>
      <c r="Q61" s="139"/>
      <c r="R61" s="139">
        <v>5.5</v>
      </c>
      <c r="S61" s="139"/>
      <c r="T61" s="139">
        <v>4</v>
      </c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59.4</v>
      </c>
      <c r="AH61" s="139">
        <f aca="true" t="shared" si="14" ref="AH61:AH67">B61+C61-AG61</f>
        <v>63.29999999999999</v>
      </c>
      <c r="AJ61" s="141"/>
    </row>
    <row r="62" spans="1:36" s="140" customFormat="1" ht="15" customHeight="1">
      <c r="A62" s="143" t="s">
        <v>11</v>
      </c>
      <c r="B62" s="138">
        <f>5271.3-917.2</f>
        <v>4354.1</v>
      </c>
      <c r="C62" s="138">
        <v>5557</v>
      </c>
      <c r="D62" s="139"/>
      <c r="E62" s="139">
        <v>7.4</v>
      </c>
      <c r="F62" s="139"/>
      <c r="G62" s="139">
        <v>82.9</v>
      </c>
      <c r="H62" s="139"/>
      <c r="I62" s="139"/>
      <c r="J62" s="139"/>
      <c r="K62" s="139">
        <v>1256.8</v>
      </c>
      <c r="L62" s="139">
        <v>170.3</v>
      </c>
      <c r="M62" s="139"/>
      <c r="N62" s="139">
        <v>0.1</v>
      </c>
      <c r="O62" s="139"/>
      <c r="P62" s="139"/>
      <c r="Q62" s="139">
        <v>371.9</v>
      </c>
      <c r="R62" s="139"/>
      <c r="S62" s="139">
        <v>2726.2</v>
      </c>
      <c r="T62" s="139">
        <v>63</v>
      </c>
      <c r="U62" s="139">
        <v>78.1</v>
      </c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4756.7</v>
      </c>
      <c r="AH62" s="139">
        <f t="shared" si="14"/>
        <v>5154.400000000001</v>
      </c>
      <c r="AJ62" s="141"/>
    </row>
    <row r="63" spans="1:36" s="140" customFormat="1" ht="15.75">
      <c r="A63" s="137" t="s">
        <v>5</v>
      </c>
      <c r="B63" s="138">
        <f>2779.2-4.5</f>
        <v>2774.7</v>
      </c>
      <c r="C63" s="138">
        <v>1372</v>
      </c>
      <c r="D63" s="139"/>
      <c r="E63" s="139">
        <v>7.4</v>
      </c>
      <c r="F63" s="139"/>
      <c r="G63" s="139"/>
      <c r="H63" s="139"/>
      <c r="I63" s="139"/>
      <c r="J63" s="139"/>
      <c r="K63" s="139">
        <f>1036.6-0.2</f>
        <v>1036.3999999999999</v>
      </c>
      <c r="L63" s="139"/>
      <c r="M63" s="139"/>
      <c r="N63" s="139"/>
      <c r="O63" s="139"/>
      <c r="P63" s="139"/>
      <c r="Q63" s="139"/>
      <c r="R63" s="139"/>
      <c r="S63" s="139">
        <v>2347.5</v>
      </c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3391.3</v>
      </c>
      <c r="AH63" s="139">
        <f t="shared" si="14"/>
        <v>755.3999999999996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288.9</v>
      </c>
      <c r="C65" s="138">
        <v>605.3000000000001</v>
      </c>
      <c r="D65" s="139"/>
      <c r="E65" s="139"/>
      <c r="F65" s="139"/>
      <c r="G65" s="139">
        <f>43.7+0.4</f>
        <v>44.1</v>
      </c>
      <c r="H65" s="139"/>
      <c r="I65" s="139"/>
      <c r="J65" s="139"/>
      <c r="K65" s="139">
        <v>5.9</v>
      </c>
      <c r="L65" s="139"/>
      <c r="M65" s="139"/>
      <c r="N65" s="139"/>
      <c r="O65" s="139"/>
      <c r="P65" s="139"/>
      <c r="Q65" s="139">
        <v>35.5</v>
      </c>
      <c r="R65" s="139"/>
      <c r="S65" s="139">
        <v>6.2</v>
      </c>
      <c r="T65" s="139"/>
      <c r="U65" s="139">
        <v>57</v>
      </c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148.7</v>
      </c>
      <c r="AH65" s="139">
        <f t="shared" si="14"/>
        <v>745.5</v>
      </c>
      <c r="AI65" s="141"/>
      <c r="AJ65" s="141"/>
    </row>
    <row r="66" spans="1:36" s="18" customFormat="1" ht="15.75">
      <c r="A66" s="98" t="s">
        <v>2</v>
      </c>
      <c r="B66" s="97">
        <f>32.5+4.5</f>
        <v>37</v>
      </c>
      <c r="C66" s="97">
        <v>98.89999999999999</v>
      </c>
      <c r="D66" s="72"/>
      <c r="E66" s="72"/>
      <c r="F66" s="72"/>
      <c r="G66" s="72">
        <v>14.3</v>
      </c>
      <c r="H66" s="72"/>
      <c r="I66" s="72"/>
      <c r="J66" s="72"/>
      <c r="K66" s="72">
        <v>2.9</v>
      </c>
      <c r="L66" s="72">
        <v>3.7</v>
      </c>
      <c r="M66" s="72"/>
      <c r="N66" s="72">
        <v>0.1</v>
      </c>
      <c r="O66" s="72"/>
      <c r="P66" s="72"/>
      <c r="Q66" s="72">
        <v>2.9</v>
      </c>
      <c r="R66" s="72"/>
      <c r="S66" s="72"/>
      <c r="T66" s="72"/>
      <c r="U66" s="72">
        <v>7.3</v>
      </c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>
        <f t="shared" si="13"/>
        <v>31.2</v>
      </c>
      <c r="AH66" s="72">
        <f t="shared" si="14"/>
        <v>104.69999999999997</v>
      </c>
      <c r="AJ66" s="21"/>
    </row>
    <row r="67" spans="1:36" s="18" customFormat="1" ht="15.75">
      <c r="A67" s="98" t="s">
        <v>16</v>
      </c>
      <c r="B67" s="97">
        <f>308-60.3</f>
        <v>247.7</v>
      </c>
      <c r="C67" s="97">
        <v>565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>
        <v>245</v>
      </c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>
        <f t="shared" si="13"/>
        <v>245</v>
      </c>
      <c r="AH67" s="72">
        <f t="shared" si="14"/>
        <v>567.7</v>
      </c>
      <c r="AJ67" s="21"/>
    </row>
    <row r="68" spans="1:36" s="18" customFormat="1" ht="15.75">
      <c r="A68" s="98" t="s">
        <v>23</v>
      </c>
      <c r="B68" s="97">
        <f aca="true" t="shared" si="15" ref="B68:AE68">B62-B63-B66-B67-B65-B64</f>
        <v>1005.8000000000005</v>
      </c>
      <c r="C68" s="97">
        <v>2915.7999999999997</v>
      </c>
      <c r="D68" s="72">
        <f t="shared" si="15"/>
        <v>0</v>
      </c>
      <c r="E68" s="72">
        <f t="shared" si="15"/>
        <v>0</v>
      </c>
      <c r="F68" s="72">
        <f t="shared" si="15"/>
        <v>0</v>
      </c>
      <c r="G68" s="72">
        <f t="shared" si="15"/>
        <v>24.500000000000007</v>
      </c>
      <c r="H68" s="72">
        <f>H62-H63-H66-H67-H65-H64</f>
        <v>0</v>
      </c>
      <c r="I68" s="72">
        <f t="shared" si="15"/>
        <v>0</v>
      </c>
      <c r="J68" s="72">
        <f t="shared" si="15"/>
        <v>0</v>
      </c>
      <c r="K68" s="72">
        <f t="shared" si="15"/>
        <v>211.60000000000008</v>
      </c>
      <c r="L68" s="72">
        <f t="shared" si="15"/>
        <v>166.60000000000002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0</v>
      </c>
      <c r="Q68" s="72">
        <f t="shared" si="15"/>
        <v>88.5</v>
      </c>
      <c r="R68" s="72">
        <f t="shared" si="15"/>
        <v>0</v>
      </c>
      <c r="S68" s="72">
        <f t="shared" si="15"/>
        <v>372.49999999999983</v>
      </c>
      <c r="T68" s="72">
        <f t="shared" si="15"/>
        <v>63</v>
      </c>
      <c r="U68" s="72">
        <f t="shared" si="15"/>
        <v>13.799999999999997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>
        <f t="shared" si="15"/>
        <v>0</v>
      </c>
      <c r="AF68" s="72"/>
      <c r="AG68" s="72">
        <f t="shared" si="13"/>
        <v>940.4999999999999</v>
      </c>
      <c r="AH68" s="72">
        <f>AH62-AH63-AH66-AH67-AH65-AH64</f>
        <v>2981.1000000000013</v>
      </c>
      <c r="AJ68" s="21"/>
    </row>
    <row r="69" spans="1:36" s="18" customFormat="1" ht="31.5">
      <c r="A69" s="96" t="s">
        <v>45</v>
      </c>
      <c r="B69" s="97">
        <v>1785</v>
      </c>
      <c r="C69" s="97">
        <v>1.7000000000000455</v>
      </c>
      <c r="D69" s="72"/>
      <c r="E69" s="72"/>
      <c r="F69" s="72"/>
      <c r="G69" s="72">
        <v>988.1</v>
      </c>
      <c r="H69" s="72"/>
      <c r="I69" s="72"/>
      <c r="J69" s="72"/>
      <c r="K69" s="72"/>
      <c r="L69" s="72"/>
      <c r="M69" s="72"/>
      <c r="N69" s="72"/>
      <c r="O69" s="72"/>
      <c r="P69" s="72">
        <v>754.9</v>
      </c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>
        <f t="shared" si="13"/>
        <v>1743</v>
      </c>
      <c r="AH69" s="89">
        <f aca="true" t="shared" si="16" ref="AH69:AH92">B69+C69-AG69</f>
        <v>43.700000000000045</v>
      </c>
      <c r="AJ69" s="21"/>
    </row>
    <row r="70" spans="1:36" s="18" customFormat="1" ht="15.75" hidden="1">
      <c r="A70" s="96" t="s">
        <v>32</v>
      </c>
      <c r="B70" s="97"/>
      <c r="C70" s="97">
        <v>0</v>
      </c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>
        <f t="shared" si="13"/>
        <v>0</v>
      </c>
      <c r="AH70" s="89">
        <f t="shared" si="16"/>
        <v>0</v>
      </c>
      <c r="AJ70" s="21"/>
    </row>
    <row r="71" spans="1:51" s="18" customFormat="1" ht="31.5">
      <c r="A71" s="96" t="s">
        <v>46</v>
      </c>
      <c r="B71" s="97">
        <f>2436.5-200</f>
        <v>2236.5</v>
      </c>
      <c r="C71" s="109">
        <v>232.9000000000001</v>
      </c>
      <c r="D71" s="80"/>
      <c r="E71" s="80"/>
      <c r="F71" s="80"/>
      <c r="G71" s="80">
        <v>1510.5</v>
      </c>
      <c r="H71" s="80"/>
      <c r="I71" s="80"/>
      <c r="J71" s="80">
        <v>423.8</v>
      </c>
      <c r="K71" s="80"/>
      <c r="L71" s="80"/>
      <c r="M71" s="80"/>
      <c r="N71" s="80"/>
      <c r="O71" s="80"/>
      <c r="P71" s="80"/>
      <c r="Q71" s="80"/>
      <c r="R71" s="80"/>
      <c r="S71" s="80">
        <v>77.7</v>
      </c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72">
        <f t="shared" si="13"/>
        <v>2012</v>
      </c>
      <c r="AH71" s="89">
        <f t="shared" si="16"/>
        <v>457.4000000000001</v>
      </c>
      <c r="AI71" s="110"/>
      <c r="AJ71" s="21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</row>
    <row r="72" spans="1:36" s="18" customFormat="1" ht="15" customHeight="1">
      <c r="A72" s="96" t="s">
        <v>47</v>
      </c>
      <c r="B72" s="105">
        <f>1504.3-43.5</f>
        <v>1460.8</v>
      </c>
      <c r="C72" s="97">
        <v>2201.5</v>
      </c>
      <c r="D72" s="72"/>
      <c r="E72" s="72"/>
      <c r="F72" s="72">
        <v>145.2</v>
      </c>
      <c r="G72" s="72">
        <f>1.4+5.3+1.1</f>
        <v>7.799999999999999</v>
      </c>
      <c r="H72" s="72">
        <v>44.7</v>
      </c>
      <c r="I72" s="72">
        <v>1.23462</v>
      </c>
      <c r="J72" s="72">
        <v>63.6</v>
      </c>
      <c r="K72" s="72">
        <f>247.7-92.9</f>
        <v>154.79999999999998</v>
      </c>
      <c r="L72" s="72">
        <v>0.7</v>
      </c>
      <c r="M72" s="72"/>
      <c r="N72" s="72">
        <f>7.2+13</f>
        <v>20.2</v>
      </c>
      <c r="O72" s="72">
        <v>17.4</v>
      </c>
      <c r="P72" s="72">
        <v>26.3</v>
      </c>
      <c r="Q72" s="72"/>
      <c r="R72" s="72">
        <v>161.6</v>
      </c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>
        <f t="shared" si="13"/>
        <v>643.5346199999999</v>
      </c>
      <c r="AH72" s="89">
        <f t="shared" si="16"/>
        <v>3018.7653800000003</v>
      </c>
      <c r="AJ72" s="21"/>
    </row>
    <row r="73" spans="1:36" s="18" customFormat="1" ht="15" customHeight="1">
      <c r="A73" s="98" t="s">
        <v>5</v>
      </c>
      <c r="B73" s="97">
        <v>0</v>
      </c>
      <c r="C73" s="97">
        <v>0</v>
      </c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>
        <f t="shared" si="13"/>
        <v>0</v>
      </c>
      <c r="AH73" s="89">
        <f t="shared" si="16"/>
        <v>0</v>
      </c>
      <c r="AJ73" s="21"/>
    </row>
    <row r="74" spans="1:36" s="18" customFormat="1" ht="15" customHeight="1">
      <c r="A74" s="98" t="s">
        <v>2</v>
      </c>
      <c r="B74" s="97">
        <f>31+88</f>
        <v>119</v>
      </c>
      <c r="C74" s="97">
        <v>530</v>
      </c>
      <c r="D74" s="72"/>
      <c r="E74" s="72"/>
      <c r="F74" s="72">
        <v>35.5</v>
      </c>
      <c r="G74" s="72"/>
      <c r="H74" s="72">
        <v>14.8</v>
      </c>
      <c r="I74" s="72">
        <v>1.23462</v>
      </c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>
        <f t="shared" si="13"/>
        <v>51.53462</v>
      </c>
      <c r="AH74" s="89">
        <f t="shared" si="16"/>
        <v>597.46538</v>
      </c>
      <c r="AJ74" s="21"/>
    </row>
    <row r="75" spans="1:36" s="18" customFormat="1" ht="15" customHeight="1">
      <c r="A75" s="98" t="s">
        <v>16</v>
      </c>
      <c r="B75" s="97">
        <f>15+65.6+0.7</f>
        <v>81.3</v>
      </c>
      <c r="C75" s="97">
        <v>50.4</v>
      </c>
      <c r="D75" s="72"/>
      <c r="E75" s="72"/>
      <c r="F75" s="72"/>
      <c r="G75" s="72"/>
      <c r="H75" s="72"/>
      <c r="I75" s="72"/>
      <c r="J75" s="72">
        <v>1.3</v>
      </c>
      <c r="K75" s="72"/>
      <c r="L75" s="72">
        <v>0.7</v>
      </c>
      <c r="M75" s="72"/>
      <c r="N75" s="72"/>
      <c r="O75" s="72">
        <v>0.4</v>
      </c>
      <c r="P75" s="72"/>
      <c r="Q75" s="72"/>
      <c r="R75" s="72">
        <v>7.7</v>
      </c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>
        <f t="shared" si="13"/>
        <v>10.1</v>
      </c>
      <c r="AH75" s="89">
        <f t="shared" si="16"/>
        <v>121.6</v>
      </c>
      <c r="AJ75" s="21"/>
    </row>
    <row r="76" spans="1:36" s="112" customFormat="1" ht="15.75">
      <c r="A76" s="111" t="s">
        <v>48</v>
      </c>
      <c r="B76" s="97">
        <f>86+254.4</f>
        <v>340.4</v>
      </c>
      <c r="C76" s="97">
        <v>33.69999999999999</v>
      </c>
      <c r="D76" s="72"/>
      <c r="E76" s="80"/>
      <c r="F76" s="80"/>
      <c r="G76" s="80"/>
      <c r="H76" s="80"/>
      <c r="I76" s="80"/>
      <c r="J76" s="80"/>
      <c r="K76" s="80">
        <v>92.9</v>
      </c>
      <c r="L76" s="80"/>
      <c r="M76" s="80"/>
      <c r="N76" s="80">
        <v>54.4</v>
      </c>
      <c r="O76" s="80">
        <v>15.9</v>
      </c>
      <c r="P76" s="80"/>
      <c r="Q76" s="80"/>
      <c r="R76" s="80"/>
      <c r="S76" s="80">
        <v>167.1</v>
      </c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72">
        <f t="shared" si="13"/>
        <v>330.3</v>
      </c>
      <c r="AH76" s="89">
        <f t="shared" si="16"/>
        <v>43.799999999999955</v>
      </c>
      <c r="AJ76" s="21"/>
    </row>
    <row r="77" spans="1:36" s="112" customFormat="1" ht="15.75">
      <c r="A77" s="98" t="s">
        <v>5</v>
      </c>
      <c r="B77" s="97">
        <v>207.4</v>
      </c>
      <c r="C77" s="97">
        <v>7.899999999999977</v>
      </c>
      <c r="D77" s="72"/>
      <c r="E77" s="80"/>
      <c r="F77" s="80"/>
      <c r="G77" s="80"/>
      <c r="H77" s="80"/>
      <c r="I77" s="80"/>
      <c r="J77" s="80"/>
      <c r="K77" s="80">
        <v>83.7</v>
      </c>
      <c r="L77" s="80"/>
      <c r="M77" s="80"/>
      <c r="N77" s="80"/>
      <c r="O77" s="80"/>
      <c r="P77" s="80"/>
      <c r="Q77" s="80"/>
      <c r="R77" s="80"/>
      <c r="S77" s="80">
        <v>114.7</v>
      </c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72">
        <f t="shared" si="13"/>
        <v>198.4</v>
      </c>
      <c r="AH77" s="89">
        <f t="shared" si="16"/>
        <v>16.899999999999977</v>
      </c>
      <c r="AJ77" s="21"/>
    </row>
    <row r="78" spans="1:36" s="112" customFormat="1" ht="15.75" hidden="1">
      <c r="A78" s="98" t="s">
        <v>3</v>
      </c>
      <c r="B78" s="97"/>
      <c r="C78" s="97">
        <v>0</v>
      </c>
      <c r="D78" s="7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72">
        <f t="shared" si="13"/>
        <v>0</v>
      </c>
      <c r="AH78" s="89">
        <f t="shared" si="16"/>
        <v>0</v>
      </c>
      <c r="AJ78" s="21"/>
    </row>
    <row r="79" spans="1:36" s="112" customFormat="1" ht="15.75" hidden="1">
      <c r="A79" s="98" t="s">
        <v>1</v>
      </c>
      <c r="B79" s="97"/>
      <c r="C79" s="97">
        <v>0</v>
      </c>
      <c r="D79" s="7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72">
        <f t="shared" si="13"/>
        <v>0</v>
      </c>
      <c r="AH79" s="89">
        <f t="shared" si="16"/>
        <v>0</v>
      </c>
      <c r="AJ79" s="21"/>
    </row>
    <row r="80" spans="1:36" s="112" customFormat="1" ht="15.75">
      <c r="A80" s="98" t="s">
        <v>2</v>
      </c>
      <c r="B80" s="97">
        <v>0.6</v>
      </c>
      <c r="C80" s="97">
        <v>2.4000000000000012</v>
      </c>
      <c r="D80" s="72"/>
      <c r="E80" s="80"/>
      <c r="F80" s="80"/>
      <c r="G80" s="80"/>
      <c r="H80" s="80"/>
      <c r="I80" s="80"/>
      <c r="J80" s="80"/>
      <c r="K80" s="80">
        <v>1</v>
      </c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72">
        <f t="shared" si="13"/>
        <v>1</v>
      </c>
      <c r="AH80" s="89">
        <f t="shared" si="16"/>
        <v>2.0000000000000013</v>
      </c>
      <c r="AJ80" s="21"/>
    </row>
    <row r="81" spans="1:36" s="112" customFormat="1" ht="15.75">
      <c r="A81" s="111" t="s">
        <v>49</v>
      </c>
      <c r="B81" s="97">
        <v>25.8</v>
      </c>
      <c r="C81" s="109">
        <v>0</v>
      </c>
      <c r="D81" s="80"/>
      <c r="E81" s="80"/>
      <c r="F81" s="80"/>
      <c r="G81" s="80"/>
      <c r="H81" s="80"/>
      <c r="I81" s="80"/>
      <c r="J81" s="80"/>
      <c r="K81" s="80"/>
      <c r="L81" s="80">
        <v>25.8</v>
      </c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72">
        <f t="shared" si="13"/>
        <v>25.8</v>
      </c>
      <c r="AH81" s="89">
        <f t="shared" si="16"/>
        <v>0</v>
      </c>
      <c r="AJ81" s="21"/>
    </row>
    <row r="82" spans="1:36" s="112" customFormat="1" ht="15.75" hidden="1">
      <c r="A82" s="111" t="s">
        <v>41</v>
      </c>
      <c r="B82" s="97"/>
      <c r="C82" s="109">
        <v>0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72">
        <f t="shared" si="13"/>
        <v>0</v>
      </c>
      <c r="AH82" s="89">
        <f t="shared" si="16"/>
        <v>0</v>
      </c>
      <c r="AJ82" s="21"/>
    </row>
    <row r="83" spans="1:36" s="112" customFormat="1" ht="15.75" hidden="1">
      <c r="A83" s="111" t="s">
        <v>40</v>
      </c>
      <c r="B83" s="109"/>
      <c r="C83" s="109">
        <v>0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72">
        <f t="shared" si="13"/>
        <v>0</v>
      </c>
      <c r="AH83" s="72">
        <f t="shared" si="16"/>
        <v>0</v>
      </c>
      <c r="AJ83" s="21"/>
    </row>
    <row r="84" spans="1:36" s="112" customFormat="1" ht="15.75" hidden="1">
      <c r="A84" s="113" t="s">
        <v>21</v>
      </c>
      <c r="B84" s="97"/>
      <c r="C84" s="109">
        <v>0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72">
        <f t="shared" si="13"/>
        <v>0</v>
      </c>
      <c r="AH84" s="72">
        <f t="shared" si="16"/>
        <v>0</v>
      </c>
      <c r="AJ84" s="21"/>
    </row>
    <row r="85" spans="1:36" s="112" customFormat="1" ht="15.75" hidden="1">
      <c r="A85" s="113" t="s">
        <v>22</v>
      </c>
      <c r="B85" s="97"/>
      <c r="C85" s="109">
        <v>0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72">
        <f t="shared" si="13"/>
        <v>0</v>
      </c>
      <c r="AH85" s="72">
        <f t="shared" si="16"/>
        <v>0</v>
      </c>
      <c r="AJ85" s="21"/>
    </row>
    <row r="86" spans="1:36" s="112" customFormat="1" ht="31.5" hidden="1">
      <c r="A86" s="113" t="s">
        <v>24</v>
      </c>
      <c r="B86" s="97"/>
      <c r="C86" s="109">
        <v>0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72">
        <f t="shared" si="13"/>
        <v>0</v>
      </c>
      <c r="AH86" s="72">
        <f t="shared" si="16"/>
        <v>0</v>
      </c>
      <c r="AJ86" s="21"/>
    </row>
    <row r="87" spans="1:36" s="112" customFormat="1" ht="31.5" hidden="1">
      <c r="A87" s="113" t="s">
        <v>28</v>
      </c>
      <c r="B87" s="97"/>
      <c r="C87" s="109">
        <v>0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72">
        <f t="shared" si="13"/>
        <v>0</v>
      </c>
      <c r="AH87" s="72">
        <f t="shared" si="16"/>
        <v>0</v>
      </c>
      <c r="AJ87" s="21"/>
    </row>
    <row r="88" spans="1:36" s="18" customFormat="1" ht="15.75">
      <c r="A88" s="96" t="s">
        <v>58</v>
      </c>
      <c r="B88" s="97">
        <v>0</v>
      </c>
      <c r="C88" s="97">
        <v>0</v>
      </c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>
        <f t="shared" si="13"/>
        <v>0</v>
      </c>
      <c r="AH88" s="72">
        <f t="shared" si="16"/>
        <v>0</v>
      </c>
      <c r="AI88" s="112"/>
      <c r="AJ88" s="21"/>
    </row>
    <row r="89" spans="1:36" s="18" customFormat="1" ht="15.75">
      <c r="A89" s="96" t="s">
        <v>50</v>
      </c>
      <c r="B89" s="97">
        <f>9332.9+960+3726+895</f>
        <v>14913.9</v>
      </c>
      <c r="C89" s="97">
        <v>1335.3000000000102</v>
      </c>
      <c r="D89" s="72"/>
      <c r="E89" s="72"/>
      <c r="F89" s="72"/>
      <c r="G89" s="72">
        <v>1565.1</v>
      </c>
      <c r="H89" s="72">
        <v>3028</v>
      </c>
      <c r="I89" s="72">
        <v>858.1</v>
      </c>
      <c r="J89" s="72"/>
      <c r="K89" s="72">
        <v>427.6</v>
      </c>
      <c r="L89" s="72"/>
      <c r="M89" s="72"/>
      <c r="N89" s="72"/>
      <c r="O89" s="72">
        <v>997.7</v>
      </c>
      <c r="P89" s="72">
        <v>2068.4</v>
      </c>
      <c r="Q89" s="72">
        <v>886.3</v>
      </c>
      <c r="R89" s="72">
        <v>1119.7</v>
      </c>
      <c r="S89" s="72">
        <v>4088.5</v>
      </c>
      <c r="T89" s="72"/>
      <c r="U89" s="72">
        <v>381.3</v>
      </c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>
        <f t="shared" si="13"/>
        <v>15420.7</v>
      </c>
      <c r="AH89" s="72">
        <f t="shared" si="16"/>
        <v>828.5000000000091</v>
      </c>
      <c r="AI89" s="112"/>
      <c r="AJ89" s="21"/>
    </row>
    <row r="90" spans="1:36" s="18" customFormat="1" ht="15.75">
      <c r="A90" s="96" t="s">
        <v>51</v>
      </c>
      <c r="B90" s="97">
        <v>5660.4</v>
      </c>
      <c r="C90" s="97">
        <v>0</v>
      </c>
      <c r="D90" s="72"/>
      <c r="E90" s="72"/>
      <c r="F90" s="72"/>
      <c r="G90" s="72"/>
      <c r="H90" s="72"/>
      <c r="I90" s="72"/>
      <c r="J90" s="72">
        <v>1886.8</v>
      </c>
      <c r="K90" s="72"/>
      <c r="L90" s="72"/>
      <c r="M90" s="72"/>
      <c r="N90" s="72"/>
      <c r="O90" s="72"/>
      <c r="P90" s="72"/>
      <c r="Q90" s="72">
        <v>1886.8</v>
      </c>
      <c r="R90" s="72"/>
      <c r="S90" s="72"/>
      <c r="T90" s="72"/>
      <c r="U90" s="72"/>
      <c r="V90" s="72">
        <v>1886.8</v>
      </c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>
        <f t="shared" si="13"/>
        <v>5660.4</v>
      </c>
      <c r="AH90" s="72">
        <f t="shared" si="16"/>
        <v>0</v>
      </c>
      <c r="AI90" s="112"/>
      <c r="AJ90" s="21"/>
    </row>
    <row r="91" spans="1:36" s="18" customFormat="1" ht="15.75">
      <c r="A91" s="96" t="s">
        <v>25</v>
      </c>
      <c r="B91" s="97">
        <v>0</v>
      </c>
      <c r="C91" s="97">
        <v>65</v>
      </c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>
        <f t="shared" si="13"/>
        <v>0</v>
      </c>
      <c r="AH91" s="72">
        <f t="shared" si="16"/>
        <v>65</v>
      </c>
      <c r="AI91" s="112"/>
      <c r="AJ91" s="21"/>
    </row>
    <row r="92" spans="1:35" s="18" customFormat="1" ht="15.75">
      <c r="A92" s="96" t="s">
        <v>37</v>
      </c>
      <c r="B92" s="97">
        <f>61+6554+376.8</f>
        <v>6991.8</v>
      </c>
      <c r="C92" s="97">
        <v>11.7</v>
      </c>
      <c r="D92" s="72"/>
      <c r="E92" s="72"/>
      <c r="F92" s="72"/>
      <c r="G92" s="72"/>
      <c r="H92" s="72"/>
      <c r="I92" s="72"/>
      <c r="J92" s="72">
        <v>6615</v>
      </c>
      <c r="K92" s="72"/>
      <c r="L92" s="72"/>
      <c r="M92" s="72"/>
      <c r="N92" s="72"/>
      <c r="O92" s="72">
        <v>376.8</v>
      </c>
      <c r="P92" s="72"/>
      <c r="Q92" s="72"/>
      <c r="R92" s="72"/>
      <c r="S92" s="72"/>
      <c r="T92" s="72">
        <v>-14608.8</v>
      </c>
      <c r="U92" s="72"/>
      <c r="V92" s="72">
        <v>14620.5</v>
      </c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>
        <f t="shared" si="13"/>
        <v>7003.500000000001</v>
      </c>
      <c r="AH92" s="72">
        <f t="shared" si="16"/>
        <v>0</v>
      </c>
      <c r="AI92" s="115"/>
    </row>
    <row r="93" spans="1:34" s="18" customFormat="1" ht="15.75">
      <c r="A93" s="135"/>
      <c r="B93" s="97"/>
      <c r="C93" s="97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</row>
    <row r="94" spans="1:34" s="134" customFormat="1" ht="15.75">
      <c r="A94" s="135" t="s">
        <v>27</v>
      </c>
      <c r="B94" s="136">
        <f aca="true" t="shared" si="17" ref="B94:Z94">B10+B15+B24+B33+B47+B52+B54+B61+B62+B69+B71+B72+B76+B81+B82+B83+B88+B89+B90+B91+B40+B92+B70</f>
        <v>219183.89999999997</v>
      </c>
      <c r="C94" s="136">
        <f t="shared" si="17"/>
        <v>79954.2</v>
      </c>
      <c r="D94" s="91">
        <f t="shared" si="17"/>
        <v>0</v>
      </c>
      <c r="E94" s="91">
        <f t="shared" si="17"/>
        <v>254.4</v>
      </c>
      <c r="F94" s="91">
        <f t="shared" si="17"/>
        <v>3045.7</v>
      </c>
      <c r="G94" s="91">
        <f t="shared" si="17"/>
        <v>9565.8</v>
      </c>
      <c r="H94" s="91">
        <f>H10+H15+H24+H33+H47+H52+H54+H61+H62+H69+H71+H72+H76+H81+H82+H83+H88+H89+H90+H91+H40+H92+H70</f>
        <v>5999.699999999999</v>
      </c>
      <c r="I94" s="91">
        <f t="shared" si="17"/>
        <v>4947.47162</v>
      </c>
      <c r="J94" s="91">
        <f t="shared" si="17"/>
        <v>9309.4</v>
      </c>
      <c r="K94" s="91">
        <f t="shared" si="17"/>
        <v>33398.5</v>
      </c>
      <c r="L94" s="91">
        <f t="shared" si="17"/>
        <v>51394.700000000004</v>
      </c>
      <c r="M94" s="91">
        <f t="shared" si="17"/>
        <v>5278.899999999999</v>
      </c>
      <c r="N94" s="91">
        <f t="shared" si="17"/>
        <v>2657.7999999999997</v>
      </c>
      <c r="O94" s="91">
        <f t="shared" si="17"/>
        <v>2062.5</v>
      </c>
      <c r="P94" s="91">
        <f t="shared" si="17"/>
        <v>5695.3</v>
      </c>
      <c r="Q94" s="91">
        <f t="shared" si="17"/>
        <v>4019</v>
      </c>
      <c r="R94" s="91">
        <f t="shared" si="17"/>
        <v>4339.4</v>
      </c>
      <c r="S94" s="91">
        <f t="shared" si="17"/>
        <v>47823.69999999999</v>
      </c>
      <c r="T94" s="91">
        <f t="shared" si="17"/>
        <v>15705.400000000001</v>
      </c>
      <c r="U94" s="91">
        <f t="shared" si="17"/>
        <v>9906.7</v>
      </c>
      <c r="V94" s="91">
        <f t="shared" si="17"/>
        <v>16507.3</v>
      </c>
      <c r="W94" s="91">
        <f t="shared" si="17"/>
        <v>0</v>
      </c>
      <c r="X94" s="91">
        <f t="shared" si="17"/>
        <v>0</v>
      </c>
      <c r="Y94" s="91">
        <f t="shared" si="17"/>
        <v>0</v>
      </c>
      <c r="Z94" s="91">
        <f t="shared" si="17"/>
        <v>0</v>
      </c>
      <c r="AA94" s="91">
        <f>AA10+AA15+AA24+AA33+AA47+AA52+AA54+AA61+AA62+AA69+AA71+AA72+AA76+AA81+AA82+AA83+AA88+AA89+AA90+AA91+AA40</f>
        <v>0</v>
      </c>
      <c r="AB94" s="91">
        <f>AB10+AB15+AB24+AB33+AB47+AB52+AB54+AB61+AB62+AB69+AB71+AB72+AB76+AB81+AB82+AB83+AB88+AB89+AB90+AB91+AB40</f>
        <v>0</v>
      </c>
      <c r="AC94" s="91">
        <f>AC10+AC15+AC24+AC33+AC47+AC52+AC54+AC61+AC62+AC69+AC71+AC72+AC76+AC81+AC82+AC83+AC88+AC89+AC90+AC91+AC40</f>
        <v>0</v>
      </c>
      <c r="AD94" s="91">
        <f>AD10+AD15+AD24+AD33+AD47+AD52+AD54+AD61+AD62+AD69+AD71+AD72+AD76+AD81+AD82+AD83+AD88+AD89+AD90+AD91+AD40</f>
        <v>0</v>
      </c>
      <c r="AE94" s="91">
        <f>AE10+AE15+AE24+AE33+AE47+AE52+AE54+AE61+AE62+AE69+AE71+AE72+AE76+AE81+AE82+AE83+AE88+AE89+AE90+AE91+AE40</f>
        <v>0</v>
      </c>
      <c r="AF94" s="91"/>
      <c r="AG94" s="91">
        <f>AG10+AG15+AG24+AG33+AG47+AG52+AG54+AG61+AG62+AG69+AG71+AG72+AG76+AG81+AG82+AG83+AG88+AG89+AG90+AG91+AG70+AG40+AG92</f>
        <v>231911.67161999992</v>
      </c>
      <c r="AH94" s="91">
        <f>AH10+AH15+AH24+AH33+AH47+AH52+AH54+AH61+AH62+AH69+AH71+AH72+AH76+AH81+AH82+AH83+AH88+AH89+AH90+AH91+AH70+AH40+AH92</f>
        <v>67226.42838000007</v>
      </c>
    </row>
    <row r="95" spans="1:34" s="18" customFormat="1" ht="15.75">
      <c r="A95" s="98" t="s">
        <v>5</v>
      </c>
      <c r="B95" s="97">
        <f aca="true" t="shared" si="18" ref="B95:AE95">B11+B17+B26+B34+B55+B63+B73+B41+B77+B48</f>
        <v>123530.69999999998</v>
      </c>
      <c r="C95" s="97">
        <f t="shared" si="18"/>
        <v>31577.159999999996</v>
      </c>
      <c r="D95" s="72">
        <f t="shared" si="18"/>
        <v>0</v>
      </c>
      <c r="E95" s="72">
        <f t="shared" si="18"/>
        <v>252.3</v>
      </c>
      <c r="F95" s="72">
        <f t="shared" si="18"/>
        <v>2486.7999999999997</v>
      </c>
      <c r="G95" s="72">
        <f t="shared" si="18"/>
        <v>122</v>
      </c>
      <c r="H95" s="72">
        <f>H11+H17+H26+H34+H55+H63+H73+H41+H77+H48</f>
        <v>100.6</v>
      </c>
      <c r="I95" s="72">
        <f t="shared" si="18"/>
        <v>0</v>
      </c>
      <c r="J95" s="72">
        <f t="shared" si="18"/>
        <v>32.5</v>
      </c>
      <c r="K95" s="72">
        <f t="shared" si="18"/>
        <v>22449.100000000002</v>
      </c>
      <c r="L95" s="72">
        <f t="shared" si="18"/>
        <v>46395.700000000004</v>
      </c>
      <c r="M95" s="72">
        <f t="shared" si="18"/>
        <v>4022.8</v>
      </c>
      <c r="N95" s="72">
        <f t="shared" si="18"/>
        <v>4.5</v>
      </c>
      <c r="O95" s="72">
        <f t="shared" si="18"/>
        <v>0</v>
      </c>
      <c r="P95" s="72">
        <f t="shared" si="18"/>
        <v>360</v>
      </c>
      <c r="Q95" s="72">
        <f t="shared" si="18"/>
        <v>1.8</v>
      </c>
      <c r="R95" s="72">
        <f t="shared" si="18"/>
        <v>1053.5</v>
      </c>
      <c r="S95" s="72">
        <f t="shared" si="18"/>
        <v>31099.600000000002</v>
      </c>
      <c r="T95" s="72">
        <f t="shared" si="18"/>
        <v>21507.2</v>
      </c>
      <c r="U95" s="72">
        <f t="shared" si="18"/>
        <v>7990.9</v>
      </c>
      <c r="V95" s="72">
        <f t="shared" si="18"/>
        <v>0</v>
      </c>
      <c r="W95" s="72">
        <f>W11+W17+W26+W34+W55+W63+W73+W41+W77+W48</f>
        <v>0</v>
      </c>
      <c r="X95" s="72">
        <f t="shared" si="18"/>
        <v>0</v>
      </c>
      <c r="Y95" s="72">
        <f t="shared" si="18"/>
        <v>0</v>
      </c>
      <c r="Z95" s="72">
        <f t="shared" si="18"/>
        <v>0</v>
      </c>
      <c r="AA95" s="72">
        <f t="shared" si="18"/>
        <v>0</v>
      </c>
      <c r="AB95" s="72">
        <f t="shared" si="18"/>
        <v>0</v>
      </c>
      <c r="AC95" s="72">
        <f t="shared" si="18"/>
        <v>0</v>
      </c>
      <c r="AD95" s="72">
        <f t="shared" si="18"/>
        <v>0</v>
      </c>
      <c r="AE95" s="72">
        <f t="shared" si="18"/>
        <v>0</v>
      </c>
      <c r="AF95" s="72"/>
      <c r="AG95" s="72">
        <f>SUM(D95:AE95)</f>
        <v>137879.30000000002</v>
      </c>
      <c r="AH95" s="72">
        <f>B95+C95-AG95</f>
        <v>17228.55999999997</v>
      </c>
    </row>
    <row r="96" spans="1:34" s="18" customFormat="1" ht="15.75">
      <c r="A96" s="98" t="s">
        <v>2</v>
      </c>
      <c r="B96" s="97">
        <f aca="true" t="shared" si="19" ref="B96:AE96">B12+B20+B29+B36+B57+B66+B44+B80+B74+B53</f>
        <v>2629.3</v>
      </c>
      <c r="C96" s="97">
        <f t="shared" si="19"/>
        <v>9384.899999999996</v>
      </c>
      <c r="D96" s="72">
        <f t="shared" si="19"/>
        <v>0</v>
      </c>
      <c r="E96" s="72">
        <f t="shared" si="19"/>
        <v>0</v>
      </c>
      <c r="F96" s="72">
        <f t="shared" si="19"/>
        <v>61.6</v>
      </c>
      <c r="G96" s="72">
        <f t="shared" si="19"/>
        <v>224.00000000000003</v>
      </c>
      <c r="H96" s="72">
        <f>H12+H20+H29+H36+H57+H66+H44+H80+H74+H53</f>
        <v>1720.6</v>
      </c>
      <c r="I96" s="72">
        <f t="shared" si="19"/>
        <v>41.33462</v>
      </c>
      <c r="J96" s="72">
        <f t="shared" si="19"/>
        <v>60.7</v>
      </c>
      <c r="K96" s="72">
        <f t="shared" si="19"/>
        <v>173.1</v>
      </c>
      <c r="L96" s="72">
        <f t="shared" si="19"/>
        <v>405.6</v>
      </c>
      <c r="M96" s="72">
        <f t="shared" si="19"/>
        <v>243.5</v>
      </c>
      <c r="N96" s="72">
        <f t="shared" si="19"/>
        <v>24.900000000000002</v>
      </c>
      <c r="O96" s="72">
        <f t="shared" si="19"/>
        <v>5.699999999999999</v>
      </c>
      <c r="P96" s="72">
        <f t="shared" si="19"/>
        <v>8</v>
      </c>
      <c r="Q96" s="72">
        <f t="shared" si="19"/>
        <v>33.3</v>
      </c>
      <c r="R96" s="72">
        <f t="shared" si="19"/>
        <v>15</v>
      </c>
      <c r="S96" s="72">
        <f t="shared" si="19"/>
        <v>11.6</v>
      </c>
      <c r="T96" s="72">
        <f t="shared" si="19"/>
        <v>52</v>
      </c>
      <c r="U96" s="72">
        <f t="shared" si="19"/>
        <v>9.4</v>
      </c>
      <c r="V96" s="72">
        <f t="shared" si="19"/>
        <v>0</v>
      </c>
      <c r="W96" s="72">
        <f t="shared" si="19"/>
        <v>0</v>
      </c>
      <c r="X96" s="72">
        <f t="shared" si="19"/>
        <v>0</v>
      </c>
      <c r="Y96" s="72">
        <f t="shared" si="19"/>
        <v>0</v>
      </c>
      <c r="Z96" s="72">
        <f t="shared" si="19"/>
        <v>0</v>
      </c>
      <c r="AA96" s="72">
        <f t="shared" si="19"/>
        <v>0</v>
      </c>
      <c r="AB96" s="72">
        <f t="shared" si="19"/>
        <v>0</v>
      </c>
      <c r="AC96" s="72">
        <f t="shared" si="19"/>
        <v>0</v>
      </c>
      <c r="AD96" s="72">
        <f t="shared" si="19"/>
        <v>0</v>
      </c>
      <c r="AE96" s="72">
        <f t="shared" si="19"/>
        <v>0</v>
      </c>
      <c r="AF96" s="72"/>
      <c r="AG96" s="72">
        <f>SUM(D96:AE96)</f>
        <v>3090.3346199999996</v>
      </c>
      <c r="AH96" s="72">
        <f>B96+C96-AG96</f>
        <v>8923.865379999997</v>
      </c>
    </row>
    <row r="97" spans="1:34" s="18" customFormat="1" ht="15.75">
      <c r="A97" s="98" t="s">
        <v>3</v>
      </c>
      <c r="B97" s="97">
        <f aca="true" t="shared" si="20" ref="B97:AB97">B18+B27+B42+B64+B78</f>
        <v>0</v>
      </c>
      <c r="C97" s="97">
        <f t="shared" si="20"/>
        <v>15.600000000000001</v>
      </c>
      <c r="D97" s="72">
        <f t="shared" si="20"/>
        <v>0</v>
      </c>
      <c r="E97" s="72">
        <f t="shared" si="20"/>
        <v>0</v>
      </c>
      <c r="F97" s="72">
        <f t="shared" si="20"/>
        <v>0</v>
      </c>
      <c r="G97" s="72">
        <f t="shared" si="20"/>
        <v>0</v>
      </c>
      <c r="H97" s="72">
        <f>H18+H27+H42+H64+H78</f>
        <v>0</v>
      </c>
      <c r="I97" s="72">
        <f t="shared" si="20"/>
        <v>0.1</v>
      </c>
      <c r="J97" s="72">
        <f t="shared" si="20"/>
        <v>0</v>
      </c>
      <c r="K97" s="72">
        <f t="shared" si="20"/>
        <v>0</v>
      </c>
      <c r="L97" s="72">
        <f t="shared" si="20"/>
        <v>0</v>
      </c>
      <c r="M97" s="72">
        <f t="shared" si="20"/>
        <v>0</v>
      </c>
      <c r="N97" s="72">
        <f t="shared" si="20"/>
        <v>0</v>
      </c>
      <c r="O97" s="72">
        <f t="shared" si="20"/>
        <v>0</v>
      </c>
      <c r="P97" s="72">
        <f t="shared" si="20"/>
        <v>0</v>
      </c>
      <c r="Q97" s="72">
        <f t="shared" si="20"/>
        <v>0</v>
      </c>
      <c r="R97" s="72">
        <f t="shared" si="20"/>
        <v>0</v>
      </c>
      <c r="S97" s="72">
        <f t="shared" si="20"/>
        <v>0</v>
      </c>
      <c r="T97" s="72">
        <f t="shared" si="20"/>
        <v>0</v>
      </c>
      <c r="U97" s="72">
        <f t="shared" si="20"/>
        <v>0</v>
      </c>
      <c r="V97" s="72">
        <f t="shared" si="20"/>
        <v>0</v>
      </c>
      <c r="W97" s="72">
        <f t="shared" si="20"/>
        <v>0</v>
      </c>
      <c r="X97" s="72">
        <f t="shared" si="20"/>
        <v>0</v>
      </c>
      <c r="Y97" s="72">
        <f t="shared" si="20"/>
        <v>0</v>
      </c>
      <c r="Z97" s="72">
        <f t="shared" si="20"/>
        <v>0</v>
      </c>
      <c r="AA97" s="72">
        <f t="shared" si="20"/>
        <v>0</v>
      </c>
      <c r="AB97" s="72">
        <f t="shared" si="20"/>
        <v>0</v>
      </c>
      <c r="AC97" s="72">
        <f>AC18+AC27+AC42+AC64</f>
        <v>0</v>
      </c>
      <c r="AD97" s="72">
        <f>AD18+AD27+AD42+AD64</f>
        <v>0</v>
      </c>
      <c r="AE97" s="72">
        <f>AE18+AE27+AE42+AE64</f>
        <v>0</v>
      </c>
      <c r="AF97" s="72"/>
      <c r="AG97" s="72">
        <f>SUM(D97:AE97)</f>
        <v>0.1</v>
      </c>
      <c r="AH97" s="72">
        <f>B97+C97-AG97</f>
        <v>15.500000000000002</v>
      </c>
    </row>
    <row r="98" spans="1:34" s="18" customFormat="1" ht="15.75">
      <c r="A98" s="98" t="s">
        <v>1</v>
      </c>
      <c r="B98" s="97">
        <f aca="true" t="shared" si="21" ref="B98:AE98">B19+B28+B65+B35+B43+B56+B79</f>
        <v>2430.9</v>
      </c>
      <c r="C98" s="97">
        <f t="shared" si="21"/>
        <v>3654.3999999999987</v>
      </c>
      <c r="D98" s="72">
        <f t="shared" si="21"/>
        <v>0</v>
      </c>
      <c r="E98" s="72">
        <f t="shared" si="21"/>
        <v>0</v>
      </c>
      <c r="F98" s="72">
        <f t="shared" si="21"/>
        <v>0</v>
      </c>
      <c r="G98" s="72">
        <f t="shared" si="21"/>
        <v>379</v>
      </c>
      <c r="H98" s="72">
        <f>H19+H28+H65+H35+H43+H56+H79</f>
        <v>507.1</v>
      </c>
      <c r="I98" s="72">
        <f t="shared" si="21"/>
        <v>37.5</v>
      </c>
      <c r="J98" s="72">
        <f t="shared" si="21"/>
        <v>42.2</v>
      </c>
      <c r="K98" s="72">
        <f t="shared" si="21"/>
        <v>16.5</v>
      </c>
      <c r="L98" s="72">
        <f t="shared" si="21"/>
        <v>615.4</v>
      </c>
      <c r="M98" s="72">
        <f t="shared" si="21"/>
        <v>261.9</v>
      </c>
      <c r="N98" s="72">
        <f t="shared" si="21"/>
        <v>63.6</v>
      </c>
      <c r="O98" s="72">
        <f t="shared" si="21"/>
        <v>420</v>
      </c>
      <c r="P98" s="72">
        <f t="shared" si="21"/>
        <v>11.8</v>
      </c>
      <c r="Q98" s="72">
        <f t="shared" si="21"/>
        <v>98.2</v>
      </c>
      <c r="R98" s="72">
        <f t="shared" si="21"/>
        <v>271.9</v>
      </c>
      <c r="S98" s="72">
        <f t="shared" si="21"/>
        <v>6.2</v>
      </c>
      <c r="T98" s="72">
        <f t="shared" si="21"/>
        <v>339.3</v>
      </c>
      <c r="U98" s="72">
        <f t="shared" si="21"/>
        <v>409.7</v>
      </c>
      <c r="V98" s="72">
        <f t="shared" si="21"/>
        <v>0</v>
      </c>
      <c r="W98" s="72">
        <f t="shared" si="21"/>
        <v>0</v>
      </c>
      <c r="X98" s="72">
        <f t="shared" si="21"/>
        <v>0</v>
      </c>
      <c r="Y98" s="72">
        <f t="shared" si="21"/>
        <v>0</v>
      </c>
      <c r="Z98" s="72">
        <f t="shared" si="21"/>
        <v>0</v>
      </c>
      <c r="AA98" s="72">
        <f t="shared" si="21"/>
        <v>0</v>
      </c>
      <c r="AB98" s="72">
        <f t="shared" si="21"/>
        <v>0</v>
      </c>
      <c r="AC98" s="72">
        <f t="shared" si="21"/>
        <v>0</v>
      </c>
      <c r="AD98" s="72">
        <f t="shared" si="21"/>
        <v>0</v>
      </c>
      <c r="AE98" s="72">
        <f t="shared" si="21"/>
        <v>0</v>
      </c>
      <c r="AF98" s="72"/>
      <c r="AG98" s="72">
        <f>SUM(D98:AE98)</f>
        <v>3480.2999999999997</v>
      </c>
      <c r="AH98" s="72">
        <f>B98+C98-AG98</f>
        <v>2604.9999999999995</v>
      </c>
    </row>
    <row r="99" spans="1:34" s="18" customFormat="1" ht="15.75">
      <c r="A99" s="98" t="s">
        <v>16</v>
      </c>
      <c r="B99" s="97">
        <f>B21+B30+B49+B37+B58+B13+B75+B67</f>
        <v>8615.4</v>
      </c>
      <c r="C99" s="97">
        <f aca="true" t="shared" si="22" ref="C99:Y99">C21+C30+C49+C37+C58+C13+C75+C67</f>
        <v>2763.900000000003</v>
      </c>
      <c r="D99" s="72">
        <f t="shared" si="22"/>
        <v>0</v>
      </c>
      <c r="E99" s="72">
        <f t="shared" si="22"/>
        <v>0</v>
      </c>
      <c r="F99" s="72">
        <f t="shared" si="22"/>
        <v>0</v>
      </c>
      <c r="G99" s="72">
        <f t="shared" si="22"/>
        <v>2307.8999999999996</v>
      </c>
      <c r="H99" s="72">
        <f>H21+H30+H49+H37+H58+H13+H75+H67</f>
        <v>0</v>
      </c>
      <c r="I99" s="72">
        <f t="shared" si="22"/>
        <v>82.3</v>
      </c>
      <c r="J99" s="72">
        <f t="shared" si="22"/>
        <v>66.2</v>
      </c>
      <c r="K99" s="72">
        <f t="shared" si="22"/>
        <v>0</v>
      </c>
      <c r="L99" s="72">
        <f t="shared" si="22"/>
        <v>0.7</v>
      </c>
      <c r="M99" s="72">
        <f t="shared" si="22"/>
        <v>655.9</v>
      </c>
      <c r="N99" s="72">
        <f t="shared" si="22"/>
        <v>66.7</v>
      </c>
      <c r="O99" s="72">
        <f t="shared" si="22"/>
        <v>0.4</v>
      </c>
      <c r="P99" s="72">
        <f t="shared" si="22"/>
        <v>2205.8</v>
      </c>
      <c r="Q99" s="72">
        <f t="shared" si="22"/>
        <v>295.9</v>
      </c>
      <c r="R99" s="72">
        <f t="shared" si="22"/>
        <v>285.59999999999997</v>
      </c>
      <c r="S99" s="72">
        <f t="shared" si="22"/>
        <v>354.5</v>
      </c>
      <c r="T99" s="72">
        <f t="shared" si="22"/>
        <v>521.3</v>
      </c>
      <c r="U99" s="72">
        <f t="shared" si="22"/>
        <v>289.2</v>
      </c>
      <c r="V99" s="72">
        <f t="shared" si="22"/>
        <v>0</v>
      </c>
      <c r="W99" s="72">
        <f t="shared" si="22"/>
        <v>0</v>
      </c>
      <c r="X99" s="72">
        <f t="shared" si="22"/>
        <v>0</v>
      </c>
      <c r="Y99" s="72">
        <f t="shared" si="22"/>
        <v>0</v>
      </c>
      <c r="Z99" s="72">
        <f aca="true" t="shared" si="23" ref="Z99:AE99">Z21+Z30+Z49+Z37+Z58+Z13+Z75</f>
        <v>0</v>
      </c>
      <c r="AA99" s="72">
        <f t="shared" si="23"/>
        <v>0</v>
      </c>
      <c r="AB99" s="72">
        <f t="shared" si="23"/>
        <v>0</v>
      </c>
      <c r="AC99" s="72">
        <f t="shared" si="23"/>
        <v>0</v>
      </c>
      <c r="AD99" s="72">
        <f t="shared" si="23"/>
        <v>0</v>
      </c>
      <c r="AE99" s="72">
        <f t="shared" si="23"/>
        <v>0</v>
      </c>
      <c r="AF99" s="72"/>
      <c r="AG99" s="72">
        <f>SUM(D99:AE99)</f>
        <v>7132.4</v>
      </c>
      <c r="AH99" s="72">
        <f>B99+C99-AG99</f>
        <v>4246.900000000003</v>
      </c>
    </row>
    <row r="100" spans="1:34" ht="12.75">
      <c r="A100" s="1" t="s">
        <v>35</v>
      </c>
      <c r="B100" s="2">
        <f>B94-B95-B96-B97-B98-B99</f>
        <v>81977.59999999999</v>
      </c>
      <c r="C100" s="2">
        <f aca="true" t="shared" si="24" ref="C100:AE100">C94-C95-C96-C97-C98-C99</f>
        <v>32558.240000000005</v>
      </c>
      <c r="D100" s="84">
        <f t="shared" si="24"/>
        <v>0</v>
      </c>
      <c r="E100" s="84">
        <f t="shared" si="24"/>
        <v>2.0999999999999943</v>
      </c>
      <c r="F100" s="84">
        <f t="shared" si="24"/>
        <v>497.30000000000007</v>
      </c>
      <c r="G100" s="84">
        <f t="shared" si="24"/>
        <v>6532.9</v>
      </c>
      <c r="H100" s="84">
        <f>H94-H95-H96-H97-H98-H99</f>
        <v>3671.3999999999983</v>
      </c>
      <c r="I100" s="84">
        <f t="shared" si="24"/>
        <v>4786.237</v>
      </c>
      <c r="J100" s="84">
        <f t="shared" si="24"/>
        <v>9107.799999999997</v>
      </c>
      <c r="K100" s="84">
        <f t="shared" si="24"/>
        <v>10759.799999999997</v>
      </c>
      <c r="L100" s="84">
        <f t="shared" si="24"/>
        <v>3977.2999999999997</v>
      </c>
      <c r="M100" s="84">
        <f t="shared" si="24"/>
        <v>94.79999999999859</v>
      </c>
      <c r="N100" s="92">
        <f t="shared" si="24"/>
        <v>2498.1</v>
      </c>
      <c r="O100" s="84">
        <f t="shared" si="24"/>
        <v>1636.4</v>
      </c>
      <c r="P100" s="84">
        <f t="shared" si="24"/>
        <v>3109.7</v>
      </c>
      <c r="Q100" s="84">
        <f t="shared" si="24"/>
        <v>3589.7999999999997</v>
      </c>
      <c r="R100" s="84">
        <f t="shared" si="24"/>
        <v>2713.3999999999996</v>
      </c>
      <c r="S100" s="84">
        <f t="shared" si="24"/>
        <v>16351.799999999988</v>
      </c>
      <c r="T100" s="84">
        <f t="shared" si="24"/>
        <v>-6714.4</v>
      </c>
      <c r="U100" s="84">
        <f t="shared" si="24"/>
        <v>1207.500000000001</v>
      </c>
      <c r="V100" s="84">
        <f t="shared" si="24"/>
        <v>16507.3</v>
      </c>
      <c r="W100" s="84">
        <f t="shared" si="24"/>
        <v>0</v>
      </c>
      <c r="X100" s="84">
        <f t="shared" si="24"/>
        <v>0</v>
      </c>
      <c r="Y100" s="84">
        <f t="shared" si="24"/>
        <v>0</v>
      </c>
      <c r="Z100" s="84">
        <f t="shared" si="24"/>
        <v>0</v>
      </c>
      <c r="AA100" s="84">
        <f t="shared" si="24"/>
        <v>0</v>
      </c>
      <c r="AB100" s="84">
        <f t="shared" si="24"/>
        <v>0</v>
      </c>
      <c r="AC100" s="84">
        <f t="shared" si="24"/>
        <v>0</v>
      </c>
      <c r="AD100" s="84">
        <f t="shared" si="24"/>
        <v>0</v>
      </c>
      <c r="AE100" s="84">
        <f t="shared" si="24"/>
        <v>0</v>
      </c>
      <c r="AF100" s="84"/>
      <c r="AG100" s="84">
        <f>AG94-AG95-AG96-AG97-AG98-AG99</f>
        <v>80329.2369999999</v>
      </c>
      <c r="AH100" s="84">
        <f>AH94-AH95-AH96-AH97-AH98-AH99</f>
        <v>34206.603000000105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6"/>
  <sheetViews>
    <sheetView tabSelected="1" zoomScale="70" zoomScaleNormal="70" zoomScalePageLayoutView="0"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94" sqref="O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125" style="0" customWidth="1"/>
    <col min="4" max="4" width="11.75390625" style="0" customWidth="1"/>
    <col min="5" max="5" width="9.75390625" style="0" customWidth="1"/>
    <col min="6" max="6" width="11.625" style="0" customWidth="1"/>
    <col min="7" max="8" width="9.75390625" style="0" customWidth="1"/>
    <col min="9" max="9" width="10.375" style="0" customWidth="1"/>
    <col min="10" max="10" width="10.75390625" style="0" customWidth="1"/>
    <col min="11" max="11" width="10.75390625" style="18" customWidth="1"/>
    <col min="12" max="12" width="11.375" style="0" customWidth="1"/>
    <col min="13" max="13" width="11.00390625" style="0" customWidth="1"/>
    <col min="14" max="14" width="10.00390625" style="18" customWidth="1"/>
    <col min="15" max="15" width="9.75390625" style="0" customWidth="1"/>
    <col min="16" max="16" width="10.875" style="0" customWidth="1"/>
    <col min="17" max="17" width="9.625" style="0" customWidth="1"/>
    <col min="18" max="18" width="10.25390625" style="0" customWidth="1"/>
    <col min="19" max="19" width="11.875" style="0" customWidth="1"/>
    <col min="20" max="20" width="11.75390625" style="18" customWidth="1"/>
    <col min="21" max="21" width="10.875" style="18" customWidth="1"/>
    <col min="22" max="22" width="10.875" style="0" customWidth="1"/>
    <col min="23" max="23" width="11.00390625" style="0" customWidth="1"/>
    <col min="24" max="24" width="10.625" style="0" customWidth="1"/>
    <col min="25" max="25" width="11.75390625" style="18" customWidth="1"/>
    <col min="26" max="26" width="8.75390625" style="18" customWidth="1"/>
    <col min="27" max="27" width="8.75390625" style="18" hidden="1" customWidth="1"/>
    <col min="28" max="28" width="9.875" style="18" hidden="1" customWidth="1"/>
    <col min="29" max="31" width="8.25390625" style="0" hidden="1" customWidth="1"/>
    <col min="32" max="32" width="12.125" style="0" customWidth="1"/>
    <col min="33" max="33" width="11.125" style="0" customWidth="1"/>
    <col min="34" max="34" width="14.875" style="0" customWidth="1"/>
    <col min="35" max="35" width="13.625" style="0" customWidth="1"/>
  </cols>
  <sheetData>
    <row r="1" spans="1:34" s="18" customFormat="1" ht="21" customHeight="1">
      <c r="A1" s="197" t="s">
        <v>12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</row>
    <row r="2" spans="1:34" s="18" customFormat="1" ht="22.5" customHeight="1">
      <c r="A2" s="198" t="s">
        <v>64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</row>
    <row r="3" spans="1:34" s="18" customFormat="1" ht="17.25" customHeight="1">
      <c r="A3" s="140"/>
      <c r="B3" s="156"/>
      <c r="C3" s="156"/>
      <c r="D3" s="156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57" t="s">
        <v>17</v>
      </c>
    </row>
    <row r="4" spans="1:34" s="18" customFormat="1" ht="63">
      <c r="A4" s="158" t="s">
        <v>26</v>
      </c>
      <c r="B4" s="159" t="s">
        <v>65</v>
      </c>
      <c r="C4" s="159" t="s">
        <v>18</v>
      </c>
      <c r="D4" s="159">
        <v>1</v>
      </c>
      <c r="E4" s="160">
        <v>2</v>
      </c>
      <c r="F4" s="160">
        <v>3</v>
      </c>
      <c r="G4" s="160">
        <v>4</v>
      </c>
      <c r="H4" s="160">
        <v>5</v>
      </c>
      <c r="I4" s="160">
        <v>8</v>
      </c>
      <c r="J4" s="160">
        <v>9</v>
      </c>
      <c r="K4" s="160">
        <v>10</v>
      </c>
      <c r="L4" s="160">
        <v>11</v>
      </c>
      <c r="M4" s="160">
        <v>12</v>
      </c>
      <c r="N4" s="160">
        <v>15</v>
      </c>
      <c r="O4" s="160">
        <v>16</v>
      </c>
      <c r="P4" s="160">
        <v>17</v>
      </c>
      <c r="Q4" s="160">
        <v>18</v>
      </c>
      <c r="R4" s="160">
        <v>19</v>
      </c>
      <c r="S4" s="160">
        <v>22</v>
      </c>
      <c r="T4" s="160">
        <v>23</v>
      </c>
      <c r="U4" s="160">
        <v>24</v>
      </c>
      <c r="V4" s="160">
        <v>25</v>
      </c>
      <c r="W4" s="160">
        <v>26</v>
      </c>
      <c r="X4" s="160">
        <v>29</v>
      </c>
      <c r="Y4" s="160">
        <v>30</v>
      </c>
      <c r="Z4" s="160">
        <v>31</v>
      </c>
      <c r="AA4" s="160"/>
      <c r="AB4" s="160"/>
      <c r="AC4" s="160"/>
      <c r="AD4" s="160"/>
      <c r="AE4" s="160"/>
      <c r="AF4" s="159" t="s">
        <v>19</v>
      </c>
      <c r="AG4" s="161" t="s">
        <v>13</v>
      </c>
      <c r="AH4" s="161" t="s">
        <v>20</v>
      </c>
    </row>
    <row r="5" spans="1:34" s="18" customFormat="1" ht="15.75" hidden="1">
      <c r="A5" s="162" t="s">
        <v>42</v>
      </c>
      <c r="B5" s="163">
        <f>SUM(D5:Z5)</f>
        <v>0</v>
      </c>
      <c r="C5" s="163"/>
      <c r="D5" s="164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3"/>
      <c r="AG5" s="166"/>
      <c r="AH5" s="166"/>
    </row>
    <row r="6" spans="1:34" s="18" customFormat="1" ht="15.75" hidden="1">
      <c r="A6" s="162" t="s">
        <v>33</v>
      </c>
      <c r="B6" s="167">
        <f>SUM(D6:AE6)</f>
        <v>0</v>
      </c>
      <c r="C6" s="164"/>
      <c r="D6" s="164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4"/>
      <c r="AG6" s="166"/>
      <c r="AH6" s="166"/>
    </row>
    <row r="7" spans="1:34" s="18" customFormat="1" ht="15.75">
      <c r="A7" s="162" t="s">
        <v>36</v>
      </c>
      <c r="B7" s="167">
        <f>SUM(D7:Z7)</f>
        <v>14560.1</v>
      </c>
      <c r="C7" s="163">
        <v>1603.899999999987</v>
      </c>
      <c r="D7" s="164"/>
      <c r="E7" s="165">
        <v>14560.1</v>
      </c>
      <c r="F7" s="165"/>
      <c r="G7" s="165"/>
      <c r="H7" s="168"/>
      <c r="I7" s="169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3">
        <f>C7+E7+K7-AG16-AG25</f>
        <v>-1976.5000000000146</v>
      </c>
      <c r="AG7" s="163"/>
      <c r="AH7" s="166"/>
    </row>
    <row r="8" spans="1:56" s="18" customFormat="1" ht="18" customHeight="1">
      <c r="A8" s="170" t="s">
        <v>30</v>
      </c>
      <c r="B8" s="167">
        <f>SUM(E8:AC8)</f>
        <v>74553.1</v>
      </c>
      <c r="C8" s="167">
        <v>28300.3066200002</v>
      </c>
      <c r="D8" s="171">
        <v>15433.8</v>
      </c>
      <c r="E8" s="172">
        <v>3256.1</v>
      </c>
      <c r="F8" s="173">
        <v>3703.8</v>
      </c>
      <c r="G8" s="173">
        <v>3391.5</v>
      </c>
      <c r="H8" s="173">
        <v>6774.6</v>
      </c>
      <c r="I8" s="173">
        <v>18320.1</v>
      </c>
      <c r="J8" s="173">
        <v>9346.5</v>
      </c>
      <c r="K8" s="173">
        <v>4163.1</v>
      </c>
      <c r="L8" s="173">
        <v>3842.9</v>
      </c>
      <c r="M8" s="173">
        <v>2841.4</v>
      </c>
      <c r="N8" s="173">
        <v>6324.3</v>
      </c>
      <c r="O8" s="173">
        <v>12588.8</v>
      </c>
      <c r="P8" s="173"/>
      <c r="Q8" s="173"/>
      <c r="R8" s="173"/>
      <c r="S8" s="173"/>
      <c r="T8" s="174"/>
      <c r="U8" s="174"/>
      <c r="V8" s="173"/>
      <c r="W8" s="173"/>
      <c r="X8" s="173"/>
      <c r="Y8" s="173"/>
      <c r="Z8" s="173"/>
      <c r="AA8" s="173"/>
      <c r="AB8" s="173"/>
      <c r="AC8" s="173"/>
      <c r="AD8" s="175"/>
      <c r="AE8" s="175"/>
      <c r="AF8" s="176">
        <f>SUM(D8:AE8)+C8-AG9+AG16+AG25</f>
        <v>34182.60662000018</v>
      </c>
      <c r="AG8" s="177"/>
      <c r="AH8" s="139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</row>
    <row r="9" spans="1:36" s="134" customFormat="1" ht="15.75">
      <c r="A9" s="170" t="s">
        <v>14</v>
      </c>
      <c r="B9" s="178">
        <f aca="true" t="shared" si="0" ref="B9:AE9">B10+B15+B24+B33+B47+B52+B54+B61+B62+B71+B72+B88+B76+B81+B83+B82+B69+B89+B90+B91+B70+B40+B92</f>
        <v>189487</v>
      </c>
      <c r="C9" s="178">
        <f t="shared" si="0"/>
        <v>67226.46300000006</v>
      </c>
      <c r="D9" s="179">
        <f t="shared" si="0"/>
        <v>18523</v>
      </c>
      <c r="E9" s="179">
        <f t="shared" si="0"/>
        <v>7287.4</v>
      </c>
      <c r="F9" s="179">
        <f t="shared" si="0"/>
        <v>5701.399999999999</v>
      </c>
      <c r="G9" s="179">
        <f t="shared" si="0"/>
        <v>3391.4</v>
      </c>
      <c r="H9" s="179">
        <f>H10+H15+H24+H33+H47+H52+H54+H61+H62+H71+H72+H88+H76+H81+H83+H82+H69+H89+H90+H91+H70+H40+H92</f>
        <v>7572.599999999999</v>
      </c>
      <c r="I9" s="179">
        <f t="shared" si="0"/>
        <v>17610.3</v>
      </c>
      <c r="J9" s="179">
        <f t="shared" si="0"/>
        <v>1040.1999999999998</v>
      </c>
      <c r="K9" s="179">
        <f t="shared" si="0"/>
        <v>3916.2</v>
      </c>
      <c r="L9" s="179">
        <f t="shared" si="0"/>
        <v>20420.800000000003</v>
      </c>
      <c r="M9" s="179">
        <f t="shared" si="0"/>
        <v>6946.700000000001</v>
      </c>
      <c r="N9" s="179">
        <f t="shared" si="0"/>
        <v>6324.8</v>
      </c>
      <c r="O9" s="179">
        <f t="shared" si="0"/>
        <v>3510.2999999999997</v>
      </c>
      <c r="P9" s="179">
        <f t="shared" si="0"/>
        <v>0</v>
      </c>
      <c r="Q9" s="179">
        <f t="shared" si="0"/>
        <v>0</v>
      </c>
      <c r="R9" s="179">
        <f t="shared" si="0"/>
        <v>0</v>
      </c>
      <c r="S9" s="179">
        <f t="shared" si="0"/>
        <v>0</v>
      </c>
      <c r="T9" s="179">
        <f t="shared" si="0"/>
        <v>0</v>
      </c>
      <c r="U9" s="179">
        <f t="shared" si="0"/>
        <v>0</v>
      </c>
      <c r="V9" s="179">
        <f t="shared" si="0"/>
        <v>0</v>
      </c>
      <c r="W9" s="179">
        <f t="shared" si="0"/>
        <v>0</v>
      </c>
      <c r="X9" s="179">
        <f t="shared" si="0"/>
        <v>0</v>
      </c>
      <c r="Y9" s="179">
        <f t="shared" si="0"/>
        <v>0</v>
      </c>
      <c r="Z9" s="179">
        <f t="shared" si="0"/>
        <v>0</v>
      </c>
      <c r="AA9" s="179">
        <f t="shared" si="0"/>
        <v>0</v>
      </c>
      <c r="AB9" s="179">
        <f t="shared" si="0"/>
        <v>0</v>
      </c>
      <c r="AC9" s="179">
        <f t="shared" si="0"/>
        <v>0</v>
      </c>
      <c r="AD9" s="179">
        <f t="shared" si="0"/>
        <v>0</v>
      </c>
      <c r="AE9" s="179">
        <f t="shared" si="0"/>
        <v>0</v>
      </c>
      <c r="AF9" s="179"/>
      <c r="AG9" s="179">
        <f>AG10+AG15+AG24+AG33+AG47+AG52+AG54+AG61+AG62+AG71+AG72+AG76+AG88+AG81+AG83+AG82+AG69+AG89+AG90+AG91+AG70+AG40+AG92</f>
        <v>102245.1</v>
      </c>
      <c r="AH9" s="179">
        <f>AH10+AH15+AH24+AH33+AH47+AH52+AH54+AH61+AH62+AH71+AH72+AH76+AH88+AH81+AH83+AH82+AH69+AH89+AH91+AH90+AH70+AH40+AH92</f>
        <v>154468.36300000007</v>
      </c>
      <c r="AI9" s="133"/>
      <c r="AJ9" s="133"/>
    </row>
    <row r="10" spans="1:36" s="140" customFormat="1" ht="15.75">
      <c r="A10" s="143" t="s">
        <v>4</v>
      </c>
      <c r="B10" s="138">
        <f>18308.1+568</f>
        <v>18876.1</v>
      </c>
      <c r="C10" s="138">
        <v>6768.299999999999</v>
      </c>
      <c r="D10" s="139"/>
      <c r="E10" s="139">
        <v>816.9</v>
      </c>
      <c r="F10" s="139">
        <v>556.7</v>
      </c>
      <c r="G10" s="139">
        <v>252.7</v>
      </c>
      <c r="H10" s="139">
        <v>47.1</v>
      </c>
      <c r="I10" s="139">
        <v>26.1</v>
      </c>
      <c r="J10" s="139">
        <v>10.5</v>
      </c>
      <c r="K10" s="180">
        <v>1831.8</v>
      </c>
      <c r="L10" s="139">
        <v>362.6</v>
      </c>
      <c r="M10" s="139">
        <v>5112.3</v>
      </c>
      <c r="N10" s="139">
        <v>49.2</v>
      </c>
      <c r="O10" s="139">
        <v>9.1</v>
      </c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>
        <f aca="true" t="shared" si="1" ref="AG10:AG59">SUM(D10:AE10)</f>
        <v>9075.000000000002</v>
      </c>
      <c r="AH10" s="139">
        <f>B10+C10-AG10</f>
        <v>16569.399999999994</v>
      </c>
      <c r="AJ10" s="141"/>
    </row>
    <row r="11" spans="1:36" s="140" customFormat="1" ht="15.75">
      <c r="A11" s="137" t="s">
        <v>5</v>
      </c>
      <c r="B11" s="138">
        <f>17320.1+477.4</f>
        <v>17797.5</v>
      </c>
      <c r="C11" s="138">
        <v>5430.600000000006</v>
      </c>
      <c r="D11" s="139"/>
      <c r="E11" s="139">
        <v>385.2</v>
      </c>
      <c r="F11" s="139">
        <v>462.1</v>
      </c>
      <c r="G11" s="139">
        <v>247.2</v>
      </c>
      <c r="H11" s="139"/>
      <c r="I11" s="139"/>
      <c r="J11" s="139"/>
      <c r="K11" s="139">
        <v>1788.6</v>
      </c>
      <c r="L11" s="139">
        <v>354.1</v>
      </c>
      <c r="M11" s="139">
        <v>5063.8</v>
      </c>
      <c r="N11" s="139">
        <v>47.1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>
        <f t="shared" si="1"/>
        <v>8348.1</v>
      </c>
      <c r="AH11" s="139">
        <f>B11+C11-AG11</f>
        <v>14880.000000000005</v>
      </c>
      <c r="AJ11" s="141"/>
    </row>
    <row r="12" spans="1:36" s="140" customFormat="1" ht="15.75">
      <c r="A12" s="137" t="s">
        <v>2</v>
      </c>
      <c r="B12" s="142">
        <v>109.7</v>
      </c>
      <c r="C12" s="138">
        <v>23.4</v>
      </c>
      <c r="D12" s="139"/>
      <c r="E12" s="139"/>
      <c r="F12" s="139">
        <v>71.3</v>
      </c>
      <c r="G12" s="139"/>
      <c r="H12" s="139">
        <v>23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>
        <f t="shared" si="1"/>
        <v>94.3</v>
      </c>
      <c r="AH12" s="139">
        <f>B12+C12-AG12</f>
        <v>38.8</v>
      </c>
      <c r="AJ12" s="141"/>
    </row>
    <row r="13" spans="1:36" s="140" customFormat="1" ht="15.75" hidden="1">
      <c r="A13" s="137" t="s">
        <v>16</v>
      </c>
      <c r="B13" s="138"/>
      <c r="C13" s="138">
        <v>0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>
        <f t="shared" si="1"/>
        <v>0</v>
      </c>
      <c r="AH13" s="139">
        <f>B13+C13-AG13</f>
        <v>0</v>
      </c>
      <c r="AJ13" s="141"/>
    </row>
    <row r="14" spans="1:36" s="140" customFormat="1" ht="15.75">
      <c r="A14" s="137" t="s">
        <v>23</v>
      </c>
      <c r="B14" s="138">
        <f aca="true" t="shared" si="2" ref="B14:Z14">B10-B11-B12-B13</f>
        <v>968.8999999999985</v>
      </c>
      <c r="C14" s="138">
        <v>1314.2999999999934</v>
      </c>
      <c r="D14" s="139">
        <f t="shared" si="2"/>
        <v>0</v>
      </c>
      <c r="E14" s="139">
        <f t="shared" si="2"/>
        <v>431.7</v>
      </c>
      <c r="F14" s="139">
        <f t="shared" si="2"/>
        <v>23.300000000000026</v>
      </c>
      <c r="G14" s="139">
        <f t="shared" si="2"/>
        <v>5.5</v>
      </c>
      <c r="H14" s="139">
        <f>H10-H11-H12-H13</f>
        <v>24.1</v>
      </c>
      <c r="I14" s="139">
        <f t="shared" si="2"/>
        <v>26.1</v>
      </c>
      <c r="J14" s="139">
        <f t="shared" si="2"/>
        <v>10.5</v>
      </c>
      <c r="K14" s="139">
        <f t="shared" si="2"/>
        <v>43.200000000000045</v>
      </c>
      <c r="L14" s="139">
        <f t="shared" si="2"/>
        <v>8.5</v>
      </c>
      <c r="M14" s="139">
        <f t="shared" si="2"/>
        <v>48.5</v>
      </c>
      <c r="N14" s="139">
        <f t="shared" si="2"/>
        <v>2.1000000000000014</v>
      </c>
      <c r="O14" s="139">
        <f t="shared" si="2"/>
        <v>9.1</v>
      </c>
      <c r="P14" s="139">
        <f t="shared" si="2"/>
        <v>0</v>
      </c>
      <c r="Q14" s="139">
        <f t="shared" si="2"/>
        <v>0</v>
      </c>
      <c r="R14" s="139">
        <f t="shared" si="2"/>
        <v>0</v>
      </c>
      <c r="S14" s="139">
        <f t="shared" si="2"/>
        <v>0</v>
      </c>
      <c r="T14" s="139">
        <f t="shared" si="2"/>
        <v>0</v>
      </c>
      <c r="U14" s="139">
        <f t="shared" si="2"/>
        <v>0</v>
      </c>
      <c r="V14" s="139">
        <f t="shared" si="2"/>
        <v>0</v>
      </c>
      <c r="W14" s="139">
        <f t="shared" si="2"/>
        <v>0</v>
      </c>
      <c r="X14" s="139">
        <f t="shared" si="2"/>
        <v>0</v>
      </c>
      <c r="Y14" s="139">
        <f t="shared" si="2"/>
        <v>0</v>
      </c>
      <c r="Z14" s="139">
        <f t="shared" si="2"/>
        <v>0</v>
      </c>
      <c r="AA14" s="139"/>
      <c r="AB14" s="139"/>
      <c r="AC14" s="139"/>
      <c r="AD14" s="139"/>
      <c r="AE14" s="139"/>
      <c r="AF14" s="139"/>
      <c r="AG14" s="139">
        <f t="shared" si="1"/>
        <v>632.6000000000001</v>
      </c>
      <c r="AH14" s="139">
        <f>AH10-AH11-AH12-AH13</f>
        <v>1650.5999999999888</v>
      </c>
      <c r="AJ14" s="141"/>
    </row>
    <row r="15" spans="1:36" s="140" customFormat="1" ht="15" customHeight="1">
      <c r="A15" s="143" t="s">
        <v>6</v>
      </c>
      <c r="B15" s="138">
        <f>41794.5-150.8</f>
        <v>41643.7</v>
      </c>
      <c r="C15" s="138">
        <v>29268.100000000035</v>
      </c>
      <c r="D15" s="144"/>
      <c r="E15" s="144">
        <v>4031.4</v>
      </c>
      <c r="F15" s="139">
        <f>1283.3+847.7</f>
        <v>2131</v>
      </c>
      <c r="G15" s="139">
        <v>64.1</v>
      </c>
      <c r="H15" s="139">
        <f>956.3+88.2</f>
        <v>1044.5</v>
      </c>
      <c r="I15" s="139">
        <v>636.8</v>
      </c>
      <c r="J15" s="139">
        <f>447.5+19.9+0.1</f>
        <v>467.5</v>
      </c>
      <c r="K15" s="139">
        <f>5.4+1.9</f>
        <v>7.300000000000001</v>
      </c>
      <c r="L15" s="139">
        <f>5305.9+671.5</f>
        <v>5977.4</v>
      </c>
      <c r="M15" s="139">
        <f>4657.2</f>
        <v>4657.2</v>
      </c>
      <c r="N15" s="139">
        <v>609.8</v>
      </c>
      <c r="O15" s="139">
        <v>171.5</v>
      </c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>
        <f t="shared" si="1"/>
        <v>19798.499999999996</v>
      </c>
      <c r="AH15" s="139">
        <f aca="true" t="shared" si="3" ref="AH15:AH31">B15+C15-AG15</f>
        <v>51113.30000000003</v>
      </c>
      <c r="AJ15" s="141"/>
    </row>
    <row r="16" spans="1:36" s="150" customFormat="1" ht="15" customHeight="1">
      <c r="A16" s="145" t="s">
        <v>38</v>
      </c>
      <c r="B16" s="146">
        <v>12081.9</v>
      </c>
      <c r="C16" s="146">
        <v>948.3000000000029</v>
      </c>
      <c r="D16" s="147"/>
      <c r="E16" s="147">
        <v>4031.4</v>
      </c>
      <c r="F16" s="148">
        <v>847.7</v>
      </c>
      <c r="G16" s="148"/>
      <c r="H16" s="148">
        <v>88.2</v>
      </c>
      <c r="I16" s="148"/>
      <c r="J16" s="148"/>
      <c r="K16" s="148"/>
      <c r="L16" s="148">
        <v>671.5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7">
        <f t="shared" si="1"/>
        <v>5638.8</v>
      </c>
      <c r="AH16" s="147">
        <f t="shared" si="3"/>
        <v>7391.400000000002</v>
      </c>
      <c r="AI16" s="149"/>
      <c r="AJ16" s="141"/>
    </row>
    <row r="17" spans="1:36" s="140" customFormat="1" ht="15.75">
      <c r="A17" s="137" t="s">
        <v>5</v>
      </c>
      <c r="B17" s="138">
        <v>35888</v>
      </c>
      <c r="C17" s="138">
        <v>10533.559999999983</v>
      </c>
      <c r="D17" s="139"/>
      <c r="E17" s="139">
        <v>4031.4</v>
      </c>
      <c r="F17" s="139">
        <f>1107.9+847.7</f>
        <v>1955.6000000000001</v>
      </c>
      <c r="G17" s="139"/>
      <c r="H17" s="139">
        <f>42.4+88.2</f>
        <v>130.6</v>
      </c>
      <c r="I17" s="139"/>
      <c r="J17" s="139"/>
      <c r="K17" s="139"/>
      <c r="L17" s="139">
        <f>5282.4+671.5</f>
        <v>5953.9</v>
      </c>
      <c r="M17" s="139">
        <v>4513.4</v>
      </c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>
        <f t="shared" si="1"/>
        <v>16584.9</v>
      </c>
      <c r="AH17" s="139">
        <f t="shared" si="3"/>
        <v>29836.65999999998</v>
      </c>
      <c r="AI17" s="141"/>
      <c r="AJ17" s="141"/>
    </row>
    <row r="18" spans="1:36" s="140" customFormat="1" ht="15.75">
      <c r="A18" s="137" t="s">
        <v>3</v>
      </c>
      <c r="B18" s="138"/>
      <c r="C18" s="138">
        <v>14.600000000000001</v>
      </c>
      <c r="D18" s="139"/>
      <c r="E18" s="139"/>
      <c r="F18" s="139"/>
      <c r="G18" s="139"/>
      <c r="H18" s="139"/>
      <c r="I18" s="139"/>
      <c r="J18" s="139">
        <v>0.5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>
        <f t="shared" si="1"/>
        <v>0.5</v>
      </c>
      <c r="AH18" s="139">
        <f t="shared" si="3"/>
        <v>14.100000000000001</v>
      </c>
      <c r="AJ18" s="141"/>
    </row>
    <row r="19" spans="1:36" s="140" customFormat="1" ht="15.75">
      <c r="A19" s="137" t="s">
        <v>1</v>
      </c>
      <c r="B19" s="138">
        <v>693.5</v>
      </c>
      <c r="C19" s="138">
        <v>1786.9999999999982</v>
      </c>
      <c r="D19" s="139"/>
      <c r="E19" s="139"/>
      <c r="F19" s="139">
        <v>0.2</v>
      </c>
      <c r="G19" s="139"/>
      <c r="H19" s="139">
        <v>23.1</v>
      </c>
      <c r="I19" s="139"/>
      <c r="J19" s="139"/>
      <c r="K19" s="139"/>
      <c r="L19" s="139"/>
      <c r="M19" s="139">
        <v>10</v>
      </c>
      <c r="N19" s="139">
        <v>147.3</v>
      </c>
      <c r="O19" s="139">
        <v>70.5</v>
      </c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>
        <f t="shared" si="1"/>
        <v>251.10000000000002</v>
      </c>
      <c r="AH19" s="139">
        <f t="shared" si="3"/>
        <v>2229.3999999999983</v>
      </c>
      <c r="AJ19" s="141"/>
    </row>
    <row r="20" spans="1:36" s="140" customFormat="1" ht="15.75">
      <c r="A20" s="137" t="s">
        <v>2</v>
      </c>
      <c r="B20" s="138">
        <f>1345.8-150.8</f>
        <v>1195</v>
      </c>
      <c r="C20" s="138">
        <v>7699.5</v>
      </c>
      <c r="D20" s="139"/>
      <c r="E20" s="139"/>
      <c r="F20" s="139">
        <v>114.6</v>
      </c>
      <c r="G20" s="139">
        <v>64.1</v>
      </c>
      <c r="H20" s="139">
        <v>132.3</v>
      </c>
      <c r="I20" s="139">
        <v>525.1</v>
      </c>
      <c r="J20" s="139">
        <f>375.5+19.9+0.1</f>
        <v>395.5</v>
      </c>
      <c r="K20" s="139">
        <v>1.9</v>
      </c>
      <c r="L20" s="139">
        <v>9</v>
      </c>
      <c r="M20" s="139">
        <v>29.3</v>
      </c>
      <c r="N20" s="139">
        <v>19.6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>
        <f t="shared" si="1"/>
        <v>1291.3999999999999</v>
      </c>
      <c r="AH20" s="139">
        <f t="shared" si="3"/>
        <v>7603.1</v>
      </c>
      <c r="AJ20" s="141"/>
    </row>
    <row r="21" spans="1:36" s="140" customFormat="1" ht="15.75">
      <c r="A21" s="137" t="s">
        <v>16</v>
      </c>
      <c r="B21" s="138">
        <v>961.4</v>
      </c>
      <c r="C21" s="138">
        <v>614.2999999999997</v>
      </c>
      <c r="D21" s="139"/>
      <c r="E21" s="139"/>
      <c r="F21" s="139"/>
      <c r="G21" s="139"/>
      <c r="H21" s="139">
        <f>114.8+47.7</f>
        <v>162.5</v>
      </c>
      <c r="I21" s="139"/>
      <c r="J21" s="139"/>
      <c r="K21" s="139"/>
      <c r="L21" s="139"/>
      <c r="M21" s="139">
        <f>65.2+24.1</f>
        <v>89.30000000000001</v>
      </c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>
        <f t="shared" si="1"/>
        <v>251.8</v>
      </c>
      <c r="AH21" s="139">
        <f t="shared" si="3"/>
        <v>1323.8999999999999</v>
      </c>
      <c r="AJ21" s="141"/>
    </row>
    <row r="22" spans="1:36" s="140" customFormat="1" ht="15.75" hidden="1">
      <c r="A22" s="137" t="s">
        <v>15</v>
      </c>
      <c r="B22" s="151"/>
      <c r="C22" s="138">
        <v>0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>
        <f t="shared" si="1"/>
        <v>0</v>
      </c>
      <c r="AH22" s="139">
        <f t="shared" si="3"/>
        <v>0</v>
      </c>
      <c r="AJ22" s="141"/>
    </row>
    <row r="23" spans="1:36" s="140" customFormat="1" ht="15.75">
      <c r="A23" s="137" t="s">
        <v>23</v>
      </c>
      <c r="B23" s="138">
        <f>B15-B17-B18-B19-B20-B21-B22</f>
        <v>2905.799999999997</v>
      </c>
      <c r="C23" s="138">
        <v>8619.1</v>
      </c>
      <c r="D23" s="139">
        <f aca="true" t="shared" si="4" ref="D23:AE23">D15-D17-D18-D19-D20-D21-D22</f>
        <v>0</v>
      </c>
      <c r="E23" s="139">
        <f t="shared" si="4"/>
        <v>0</v>
      </c>
      <c r="F23" s="139">
        <f t="shared" si="4"/>
        <v>60.59999999999988</v>
      </c>
      <c r="G23" s="139">
        <f t="shared" si="4"/>
        <v>0</v>
      </c>
      <c r="H23" s="139">
        <f>H15-H17-H18-H19-H20-H21-H22</f>
        <v>596</v>
      </c>
      <c r="I23" s="139">
        <f t="shared" si="4"/>
        <v>111.69999999999993</v>
      </c>
      <c r="J23" s="139">
        <f t="shared" si="4"/>
        <v>71.5</v>
      </c>
      <c r="K23" s="139">
        <f t="shared" si="4"/>
        <v>5.4</v>
      </c>
      <c r="L23" s="139">
        <f t="shared" si="4"/>
        <v>14.5</v>
      </c>
      <c r="M23" s="139">
        <f t="shared" si="4"/>
        <v>15.200000000000173</v>
      </c>
      <c r="N23" s="139">
        <f t="shared" si="4"/>
        <v>442.8999999999999</v>
      </c>
      <c r="O23" s="139">
        <f t="shared" si="4"/>
        <v>101</v>
      </c>
      <c r="P23" s="139">
        <f t="shared" si="4"/>
        <v>0</v>
      </c>
      <c r="Q23" s="139">
        <f t="shared" si="4"/>
        <v>0</v>
      </c>
      <c r="R23" s="139">
        <f t="shared" si="4"/>
        <v>0</v>
      </c>
      <c r="S23" s="139">
        <f t="shared" si="4"/>
        <v>0</v>
      </c>
      <c r="T23" s="139">
        <f t="shared" si="4"/>
        <v>0</v>
      </c>
      <c r="U23" s="139">
        <f t="shared" si="4"/>
        <v>0</v>
      </c>
      <c r="V23" s="139">
        <f t="shared" si="4"/>
        <v>0</v>
      </c>
      <c r="W23" s="139">
        <f t="shared" si="4"/>
        <v>0</v>
      </c>
      <c r="X23" s="139">
        <f t="shared" si="4"/>
        <v>0</v>
      </c>
      <c r="Y23" s="139">
        <f t="shared" si="4"/>
        <v>0</v>
      </c>
      <c r="Z23" s="139">
        <f t="shared" si="4"/>
        <v>0</v>
      </c>
      <c r="AA23" s="139">
        <f t="shared" si="4"/>
        <v>0</v>
      </c>
      <c r="AB23" s="139">
        <f t="shared" si="4"/>
        <v>0</v>
      </c>
      <c r="AC23" s="139">
        <f t="shared" si="4"/>
        <v>0</v>
      </c>
      <c r="AD23" s="139">
        <f t="shared" si="4"/>
        <v>0</v>
      </c>
      <c r="AE23" s="139">
        <f t="shared" si="4"/>
        <v>0</v>
      </c>
      <c r="AF23" s="139"/>
      <c r="AG23" s="139">
        <f>SUM(D23:AE23)</f>
        <v>1418.8</v>
      </c>
      <c r="AH23" s="139">
        <f>B23+C23-AG23</f>
        <v>10106.099999999999</v>
      </c>
      <c r="AJ23" s="141"/>
    </row>
    <row r="24" spans="1:36" s="140" customFormat="1" ht="15" customHeight="1">
      <c r="A24" s="143" t="s">
        <v>7</v>
      </c>
      <c r="B24" s="138">
        <f>40230.8-580</f>
        <v>39650.8</v>
      </c>
      <c r="C24" s="138">
        <v>12878.563000000016</v>
      </c>
      <c r="D24" s="139"/>
      <c r="E24" s="139"/>
      <c r="F24" s="139">
        <f>1150</f>
        <v>1150</v>
      </c>
      <c r="G24" s="139"/>
      <c r="H24" s="139">
        <f>954.5+699.4</f>
        <v>1653.9</v>
      </c>
      <c r="I24" s="139"/>
      <c r="J24" s="139">
        <v>0.9</v>
      </c>
      <c r="K24" s="139">
        <v>64.6</v>
      </c>
      <c r="L24" s="139">
        <f>1017.2+6668.8</f>
        <v>7686</v>
      </c>
      <c r="M24" s="139">
        <f>996.5+3982.6</f>
        <v>4979.1</v>
      </c>
      <c r="N24" s="139">
        <v>65.4</v>
      </c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>
        <f t="shared" si="1"/>
        <v>15599.9</v>
      </c>
      <c r="AH24" s="139">
        <f t="shared" si="3"/>
        <v>36929.46300000002</v>
      </c>
      <c r="AJ24" s="141"/>
    </row>
    <row r="25" spans="1:36" s="150" customFormat="1" ht="15" customHeight="1">
      <c r="A25" s="145" t="s">
        <v>39</v>
      </c>
      <c r="B25" s="146">
        <v>17137.9</v>
      </c>
      <c r="C25" s="146">
        <v>56.8</v>
      </c>
      <c r="D25" s="148"/>
      <c r="E25" s="148"/>
      <c r="F25" s="148">
        <v>1150</v>
      </c>
      <c r="G25" s="148"/>
      <c r="H25" s="148">
        <v>699.4</v>
      </c>
      <c r="I25" s="148"/>
      <c r="J25" s="148">
        <v>0.9</v>
      </c>
      <c r="K25" s="148"/>
      <c r="L25" s="148">
        <v>6668.8</v>
      </c>
      <c r="M25" s="148">
        <v>3982.6</v>
      </c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7">
        <f t="shared" si="1"/>
        <v>12501.7</v>
      </c>
      <c r="AH25" s="147">
        <f t="shared" si="3"/>
        <v>4693</v>
      </c>
      <c r="AI25" s="149"/>
      <c r="AJ25" s="141"/>
    </row>
    <row r="26" spans="1:36" s="140" customFormat="1" ht="15.75" hidden="1">
      <c r="A26" s="137" t="s">
        <v>5</v>
      </c>
      <c r="B26" s="138"/>
      <c r="C26" s="138">
        <v>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>
        <f t="shared" si="1"/>
        <v>0</v>
      </c>
      <c r="AH26" s="139">
        <f t="shared" si="3"/>
        <v>0</v>
      </c>
      <c r="AI26" s="141"/>
      <c r="AJ26" s="141"/>
    </row>
    <row r="27" spans="1:36" s="140" customFormat="1" ht="15.75" hidden="1">
      <c r="A27" s="137" t="s">
        <v>3</v>
      </c>
      <c r="B27" s="138"/>
      <c r="C27" s="138">
        <v>0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>
        <f t="shared" si="1"/>
        <v>0</v>
      </c>
      <c r="AH27" s="139">
        <f t="shared" si="3"/>
        <v>0</v>
      </c>
      <c r="AJ27" s="141"/>
    </row>
    <row r="28" spans="1:36" s="140" customFormat="1" ht="15.75" hidden="1">
      <c r="A28" s="137" t="s">
        <v>1</v>
      </c>
      <c r="B28" s="138"/>
      <c r="C28" s="138">
        <v>0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>
        <f t="shared" si="1"/>
        <v>0</v>
      </c>
      <c r="AH28" s="139">
        <f t="shared" si="3"/>
        <v>0</v>
      </c>
      <c r="AJ28" s="141"/>
    </row>
    <row r="29" spans="1:36" s="140" customFormat="1" ht="15.75" hidden="1">
      <c r="A29" s="137" t="s">
        <v>2</v>
      </c>
      <c r="B29" s="138"/>
      <c r="C29" s="138">
        <v>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>
        <f t="shared" si="1"/>
        <v>0</v>
      </c>
      <c r="AH29" s="139">
        <f t="shared" si="3"/>
        <v>0</v>
      </c>
      <c r="AJ29" s="141"/>
    </row>
    <row r="30" spans="1:36" s="140" customFormat="1" ht="15.75">
      <c r="A30" s="137" t="s">
        <v>16</v>
      </c>
      <c r="B30" s="138">
        <v>90.8</v>
      </c>
      <c r="C30" s="138">
        <v>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>
        <f t="shared" si="1"/>
        <v>0</v>
      </c>
      <c r="AH30" s="139">
        <f t="shared" si="3"/>
        <v>90.8</v>
      </c>
      <c r="AJ30" s="141"/>
    </row>
    <row r="31" spans="1:36" s="140" customFormat="1" ht="15.75" hidden="1">
      <c r="A31" s="137" t="s">
        <v>15</v>
      </c>
      <c r="B31" s="138"/>
      <c r="C31" s="138">
        <v>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>
        <f t="shared" si="1"/>
        <v>0</v>
      </c>
      <c r="AH31" s="139">
        <f t="shared" si="3"/>
        <v>0</v>
      </c>
      <c r="AJ31" s="141"/>
    </row>
    <row r="32" spans="1:36" s="140" customFormat="1" ht="15.75">
      <c r="A32" s="137" t="s">
        <v>23</v>
      </c>
      <c r="B32" s="138">
        <f>B24-B30</f>
        <v>39560</v>
      </c>
      <c r="C32" s="138">
        <v>12878.563000000016</v>
      </c>
      <c r="D32" s="139">
        <f aca="true" t="shared" si="5" ref="D32:AE32">D24-D26-D27-D28-D29-D30-D31</f>
        <v>0</v>
      </c>
      <c r="E32" s="139">
        <f t="shared" si="5"/>
        <v>0</v>
      </c>
      <c r="F32" s="139">
        <f t="shared" si="5"/>
        <v>1150</v>
      </c>
      <c r="G32" s="139">
        <f t="shared" si="5"/>
        <v>0</v>
      </c>
      <c r="H32" s="139">
        <f>H24-H26-H27-H28-H29-H30-H31</f>
        <v>1653.9</v>
      </c>
      <c r="I32" s="139">
        <f t="shared" si="5"/>
        <v>0</v>
      </c>
      <c r="J32" s="139">
        <f t="shared" si="5"/>
        <v>0.9</v>
      </c>
      <c r="K32" s="139">
        <f t="shared" si="5"/>
        <v>64.6</v>
      </c>
      <c r="L32" s="139">
        <f t="shared" si="5"/>
        <v>7686</v>
      </c>
      <c r="M32" s="139">
        <f t="shared" si="5"/>
        <v>4979.1</v>
      </c>
      <c r="N32" s="139">
        <f t="shared" si="5"/>
        <v>65.4</v>
      </c>
      <c r="O32" s="139">
        <f t="shared" si="5"/>
        <v>0</v>
      </c>
      <c r="P32" s="139">
        <f t="shared" si="5"/>
        <v>0</v>
      </c>
      <c r="Q32" s="139">
        <f t="shared" si="5"/>
        <v>0</v>
      </c>
      <c r="R32" s="139">
        <f t="shared" si="5"/>
        <v>0</v>
      </c>
      <c r="S32" s="139">
        <f t="shared" si="5"/>
        <v>0</v>
      </c>
      <c r="T32" s="139">
        <f t="shared" si="5"/>
        <v>0</v>
      </c>
      <c r="U32" s="139">
        <f t="shared" si="5"/>
        <v>0</v>
      </c>
      <c r="V32" s="139">
        <f t="shared" si="5"/>
        <v>0</v>
      </c>
      <c r="W32" s="139">
        <f t="shared" si="5"/>
        <v>0</v>
      </c>
      <c r="X32" s="139">
        <f t="shared" si="5"/>
        <v>0</v>
      </c>
      <c r="Y32" s="139">
        <f t="shared" si="5"/>
        <v>0</v>
      </c>
      <c r="Z32" s="139">
        <f t="shared" si="5"/>
        <v>0</v>
      </c>
      <c r="AA32" s="139">
        <f t="shared" si="5"/>
        <v>0</v>
      </c>
      <c r="AB32" s="139">
        <f t="shared" si="5"/>
        <v>0</v>
      </c>
      <c r="AC32" s="139">
        <f t="shared" si="5"/>
        <v>0</v>
      </c>
      <c r="AD32" s="139">
        <f t="shared" si="5"/>
        <v>0</v>
      </c>
      <c r="AE32" s="139">
        <f t="shared" si="5"/>
        <v>0</v>
      </c>
      <c r="AF32" s="139"/>
      <c r="AG32" s="139">
        <f t="shared" si="1"/>
        <v>15599.9</v>
      </c>
      <c r="AH32" s="139">
        <f>AH24-AH30</f>
        <v>36838.663000000015</v>
      </c>
      <c r="AJ32" s="141"/>
    </row>
    <row r="33" spans="1:36" s="140" customFormat="1" ht="15" customHeight="1">
      <c r="A33" s="143" t="s">
        <v>8</v>
      </c>
      <c r="B33" s="138">
        <v>2001.1</v>
      </c>
      <c r="C33" s="138">
        <v>1169.0000000000002</v>
      </c>
      <c r="D33" s="139"/>
      <c r="E33" s="139"/>
      <c r="F33" s="139"/>
      <c r="G33" s="139"/>
      <c r="H33" s="139">
        <v>647.3</v>
      </c>
      <c r="I33" s="139"/>
      <c r="J33" s="139">
        <v>146.2</v>
      </c>
      <c r="K33" s="139"/>
      <c r="L33" s="139">
        <v>976.5</v>
      </c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>
        <f>SUM(D33:AE33)</f>
        <v>1770</v>
      </c>
      <c r="AH33" s="139">
        <f aca="true" t="shared" si="6" ref="AH33:AH38">B33+C33-AG33</f>
        <v>1400.1000000000004</v>
      </c>
      <c r="AJ33" s="141"/>
    </row>
    <row r="34" spans="1:36" s="140" customFormat="1" ht="15.75">
      <c r="A34" s="137" t="s">
        <v>5</v>
      </c>
      <c r="B34" s="138">
        <v>344.2</v>
      </c>
      <c r="C34" s="138">
        <v>48.5</v>
      </c>
      <c r="D34" s="139"/>
      <c r="E34" s="139"/>
      <c r="F34" s="139"/>
      <c r="G34" s="139"/>
      <c r="H34" s="139"/>
      <c r="I34" s="139"/>
      <c r="J34" s="139"/>
      <c r="K34" s="139"/>
      <c r="L34" s="139">
        <v>121.3</v>
      </c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>
        <f t="shared" si="1"/>
        <v>121.3</v>
      </c>
      <c r="AH34" s="139">
        <f t="shared" si="6"/>
        <v>271.4</v>
      </c>
      <c r="AJ34" s="141"/>
    </row>
    <row r="35" spans="1:36" s="140" customFormat="1" ht="15.75">
      <c r="A35" s="137" t="s">
        <v>1</v>
      </c>
      <c r="B35" s="138"/>
      <c r="C35" s="138">
        <v>68.5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>
        <f t="shared" si="1"/>
        <v>0</v>
      </c>
      <c r="AH35" s="139">
        <f t="shared" si="6"/>
        <v>68.5</v>
      </c>
      <c r="AJ35" s="141"/>
    </row>
    <row r="36" spans="1:36" s="140" customFormat="1" ht="15.75">
      <c r="A36" s="137" t="s">
        <v>2</v>
      </c>
      <c r="B36" s="151">
        <v>4.3</v>
      </c>
      <c r="C36" s="138">
        <v>70.4</v>
      </c>
      <c r="D36" s="139"/>
      <c r="E36" s="139"/>
      <c r="F36" s="139"/>
      <c r="G36" s="139"/>
      <c r="H36" s="139"/>
      <c r="I36" s="139"/>
      <c r="J36" s="139"/>
      <c r="K36" s="139"/>
      <c r="L36" s="139">
        <v>0.9</v>
      </c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>
        <f t="shared" si="1"/>
        <v>0.9</v>
      </c>
      <c r="AH36" s="139">
        <f t="shared" si="6"/>
        <v>73.8</v>
      </c>
      <c r="AJ36" s="141"/>
    </row>
    <row r="37" spans="1:36" s="140" customFormat="1" ht="15.75">
      <c r="A37" s="137" t="s">
        <v>16</v>
      </c>
      <c r="B37" s="138">
        <v>1567.5</v>
      </c>
      <c r="C37" s="138">
        <v>768</v>
      </c>
      <c r="D37" s="139"/>
      <c r="E37" s="139"/>
      <c r="F37" s="139"/>
      <c r="G37" s="139"/>
      <c r="H37" s="139">
        <v>494.9</v>
      </c>
      <c r="I37" s="139"/>
      <c r="J37" s="139">
        <v>146.2</v>
      </c>
      <c r="K37" s="139"/>
      <c r="L37" s="139">
        <v>852.6</v>
      </c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>
        <f t="shared" si="1"/>
        <v>1493.6999999999998</v>
      </c>
      <c r="AH37" s="139">
        <f t="shared" si="6"/>
        <v>841.8000000000002</v>
      </c>
      <c r="AJ37" s="141"/>
    </row>
    <row r="38" spans="1:36" s="140" customFormat="1" ht="15.75" hidden="1">
      <c r="A38" s="137" t="s">
        <v>15</v>
      </c>
      <c r="B38" s="138"/>
      <c r="C38" s="138">
        <v>0</v>
      </c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>
        <f t="shared" si="1"/>
        <v>0</v>
      </c>
      <c r="AH38" s="139">
        <f t="shared" si="6"/>
        <v>0</v>
      </c>
      <c r="AJ38" s="141"/>
    </row>
    <row r="39" spans="1:36" s="140" customFormat="1" ht="15.75">
      <c r="A39" s="137" t="s">
        <v>23</v>
      </c>
      <c r="B39" s="138">
        <f aca="true" t="shared" si="7" ref="B39:AE39">B33-B34-B36-B38-B37-B35</f>
        <v>85.09999999999991</v>
      </c>
      <c r="C39" s="138">
        <v>213.60000000000014</v>
      </c>
      <c r="D39" s="139">
        <f t="shared" si="7"/>
        <v>0</v>
      </c>
      <c r="E39" s="139">
        <f t="shared" si="7"/>
        <v>0</v>
      </c>
      <c r="F39" s="139">
        <f t="shared" si="7"/>
        <v>0</v>
      </c>
      <c r="G39" s="139">
        <f t="shared" si="7"/>
        <v>0</v>
      </c>
      <c r="H39" s="139">
        <f>H33-H34-H36-H38-H37-H35</f>
        <v>152.39999999999998</v>
      </c>
      <c r="I39" s="139">
        <f t="shared" si="7"/>
        <v>0</v>
      </c>
      <c r="J39" s="139">
        <f t="shared" si="7"/>
        <v>0</v>
      </c>
      <c r="K39" s="139">
        <f t="shared" si="7"/>
        <v>0</v>
      </c>
      <c r="L39" s="139">
        <f t="shared" si="7"/>
        <v>1.7000000000000455</v>
      </c>
      <c r="M39" s="139">
        <f t="shared" si="7"/>
        <v>0</v>
      </c>
      <c r="N39" s="139">
        <f t="shared" si="7"/>
        <v>0</v>
      </c>
      <c r="O39" s="139">
        <f t="shared" si="7"/>
        <v>0</v>
      </c>
      <c r="P39" s="139">
        <f t="shared" si="7"/>
        <v>0</v>
      </c>
      <c r="Q39" s="139">
        <f t="shared" si="7"/>
        <v>0</v>
      </c>
      <c r="R39" s="139">
        <f t="shared" si="7"/>
        <v>0</v>
      </c>
      <c r="S39" s="139">
        <f t="shared" si="7"/>
        <v>0</v>
      </c>
      <c r="T39" s="139">
        <f t="shared" si="7"/>
        <v>0</v>
      </c>
      <c r="U39" s="139">
        <f t="shared" si="7"/>
        <v>0</v>
      </c>
      <c r="V39" s="139">
        <f t="shared" si="7"/>
        <v>0</v>
      </c>
      <c r="W39" s="139">
        <f t="shared" si="7"/>
        <v>0</v>
      </c>
      <c r="X39" s="139">
        <f t="shared" si="7"/>
        <v>0</v>
      </c>
      <c r="Y39" s="139">
        <f t="shared" si="7"/>
        <v>0</v>
      </c>
      <c r="Z39" s="139">
        <f t="shared" si="7"/>
        <v>0</v>
      </c>
      <c r="AA39" s="139">
        <f t="shared" si="7"/>
        <v>0</v>
      </c>
      <c r="AB39" s="139">
        <f t="shared" si="7"/>
        <v>0</v>
      </c>
      <c r="AC39" s="139">
        <f t="shared" si="7"/>
        <v>0</v>
      </c>
      <c r="AD39" s="139">
        <f t="shared" si="7"/>
        <v>0</v>
      </c>
      <c r="AE39" s="139">
        <f t="shared" si="7"/>
        <v>0</v>
      </c>
      <c r="AF39" s="139"/>
      <c r="AG39" s="139">
        <f t="shared" si="1"/>
        <v>154.10000000000002</v>
      </c>
      <c r="AH39" s="139">
        <f>AH33-AH34-AH36-AH38-AH35-AH37</f>
        <v>144.60000000000014</v>
      </c>
      <c r="AJ39" s="141"/>
    </row>
    <row r="40" spans="1:36" s="140" customFormat="1" ht="15" customHeight="1">
      <c r="A40" s="143" t="s">
        <v>29</v>
      </c>
      <c r="B40" s="138">
        <f>1347.9+32.7</f>
        <v>1380.6000000000001</v>
      </c>
      <c r="C40" s="138">
        <v>323.5</v>
      </c>
      <c r="D40" s="139"/>
      <c r="E40" s="139"/>
      <c r="F40" s="139">
        <v>39.3</v>
      </c>
      <c r="G40" s="139"/>
      <c r="H40" s="139"/>
      <c r="I40" s="139"/>
      <c r="J40" s="139"/>
      <c r="K40" s="139"/>
      <c r="L40" s="139">
        <v>521.9</v>
      </c>
      <c r="M40" s="139"/>
      <c r="N40" s="139">
        <v>15.3</v>
      </c>
      <c r="O40" s="139">
        <v>8.4</v>
      </c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>
        <f t="shared" si="1"/>
        <v>584.8999999999999</v>
      </c>
      <c r="AH40" s="139">
        <f aca="true" t="shared" si="8" ref="AH40:AH45">B40+C40-AG40</f>
        <v>1119.2000000000003</v>
      </c>
      <c r="AJ40" s="141"/>
    </row>
    <row r="41" spans="1:36" s="140" customFormat="1" ht="15.75">
      <c r="A41" s="137" t="s">
        <v>5</v>
      </c>
      <c r="B41" s="138">
        <v>1299.1</v>
      </c>
      <c r="C41" s="138">
        <v>102.89999999999941</v>
      </c>
      <c r="D41" s="139"/>
      <c r="E41" s="139"/>
      <c r="F41" s="139"/>
      <c r="G41" s="139"/>
      <c r="H41" s="139"/>
      <c r="I41" s="139"/>
      <c r="J41" s="139"/>
      <c r="K41" s="139"/>
      <c r="L41" s="139">
        <v>495.5</v>
      </c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>
        <f t="shared" si="1"/>
        <v>495.5</v>
      </c>
      <c r="AH41" s="139">
        <f t="shared" si="8"/>
        <v>906.4999999999993</v>
      </c>
      <c r="AI41" s="141"/>
      <c r="AJ41" s="141"/>
    </row>
    <row r="42" spans="1:36" s="140" customFormat="1" ht="15.75">
      <c r="A42" s="137" t="s">
        <v>3</v>
      </c>
      <c r="B42" s="138"/>
      <c r="C42" s="138">
        <v>0.9</v>
      </c>
      <c r="D42" s="139"/>
      <c r="E42" s="139"/>
      <c r="F42" s="139">
        <v>0.9</v>
      </c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>
        <f t="shared" si="1"/>
        <v>0.9</v>
      </c>
      <c r="AH42" s="139">
        <f t="shared" si="8"/>
        <v>0</v>
      </c>
      <c r="AJ42" s="141"/>
    </row>
    <row r="43" spans="1:36" s="140" customFormat="1" ht="15.75">
      <c r="A43" s="137" t="s">
        <v>1</v>
      </c>
      <c r="B43" s="138">
        <v>9.3</v>
      </c>
      <c r="C43" s="138">
        <v>4.0000000000000036</v>
      </c>
      <c r="D43" s="139"/>
      <c r="E43" s="139"/>
      <c r="F43" s="139"/>
      <c r="G43" s="139"/>
      <c r="H43" s="139"/>
      <c r="I43" s="139"/>
      <c r="J43" s="139"/>
      <c r="K43" s="139"/>
      <c r="L43" s="139">
        <v>8.1</v>
      </c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>
        <f t="shared" si="1"/>
        <v>8.1</v>
      </c>
      <c r="AH43" s="139">
        <f t="shared" si="8"/>
        <v>5.200000000000005</v>
      </c>
      <c r="AJ43" s="141"/>
    </row>
    <row r="44" spans="1:36" s="140" customFormat="1" ht="15.75">
      <c r="A44" s="137" t="s">
        <v>2</v>
      </c>
      <c r="B44" s="138">
        <v>8.2</v>
      </c>
      <c r="C44" s="138">
        <v>164.90000000000006</v>
      </c>
      <c r="D44" s="139"/>
      <c r="E44" s="139"/>
      <c r="F44" s="139">
        <v>4</v>
      </c>
      <c r="G44" s="139"/>
      <c r="H44" s="139"/>
      <c r="I44" s="139"/>
      <c r="J44" s="139"/>
      <c r="K44" s="139"/>
      <c r="L44" s="139"/>
      <c r="M44" s="139"/>
      <c r="N44" s="139"/>
      <c r="O44" s="139">
        <v>8.4</v>
      </c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>
        <f t="shared" si="1"/>
        <v>12.4</v>
      </c>
      <c r="AH44" s="139">
        <f t="shared" si="8"/>
        <v>160.70000000000005</v>
      </c>
      <c r="AJ44" s="141"/>
    </row>
    <row r="45" spans="1:36" s="140" customFormat="1" ht="15.75" hidden="1">
      <c r="A45" s="137" t="s">
        <v>15</v>
      </c>
      <c r="B45" s="138"/>
      <c r="C45" s="138">
        <v>0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>
        <f t="shared" si="1"/>
        <v>0</v>
      </c>
      <c r="AH45" s="139">
        <f t="shared" si="8"/>
        <v>0</v>
      </c>
      <c r="AJ45" s="141"/>
    </row>
    <row r="46" spans="1:36" s="140" customFormat="1" ht="15.75">
      <c r="A46" s="137" t="s">
        <v>23</v>
      </c>
      <c r="B46" s="138">
        <f aca="true" t="shared" si="9" ref="B46:AE46">B40-B41-B42-B43-B44-B45</f>
        <v>64.00000000000023</v>
      </c>
      <c r="C46" s="138">
        <v>50.80000000000052</v>
      </c>
      <c r="D46" s="139">
        <f t="shared" si="9"/>
        <v>0</v>
      </c>
      <c r="E46" s="139">
        <f t="shared" si="9"/>
        <v>0</v>
      </c>
      <c r="F46" s="139">
        <f t="shared" si="9"/>
        <v>34.4</v>
      </c>
      <c r="G46" s="139">
        <f t="shared" si="9"/>
        <v>0</v>
      </c>
      <c r="H46" s="139">
        <f>H40-H41-H42-H43-H44-H45</f>
        <v>0</v>
      </c>
      <c r="I46" s="139">
        <f t="shared" si="9"/>
        <v>0</v>
      </c>
      <c r="J46" s="139">
        <f t="shared" si="9"/>
        <v>0</v>
      </c>
      <c r="K46" s="139">
        <f t="shared" si="9"/>
        <v>0</v>
      </c>
      <c r="L46" s="139">
        <f t="shared" si="9"/>
        <v>18.299999999999976</v>
      </c>
      <c r="M46" s="139">
        <f t="shared" si="9"/>
        <v>0</v>
      </c>
      <c r="N46" s="139">
        <f t="shared" si="9"/>
        <v>15.3</v>
      </c>
      <c r="O46" s="139">
        <f t="shared" si="9"/>
        <v>0</v>
      </c>
      <c r="P46" s="139">
        <f t="shared" si="9"/>
        <v>0</v>
      </c>
      <c r="Q46" s="139">
        <f t="shared" si="9"/>
        <v>0</v>
      </c>
      <c r="R46" s="139">
        <f t="shared" si="9"/>
        <v>0</v>
      </c>
      <c r="S46" s="139">
        <f t="shared" si="9"/>
        <v>0</v>
      </c>
      <c r="T46" s="139">
        <f t="shared" si="9"/>
        <v>0</v>
      </c>
      <c r="U46" s="139">
        <f t="shared" si="9"/>
        <v>0</v>
      </c>
      <c r="V46" s="139">
        <f t="shared" si="9"/>
        <v>0</v>
      </c>
      <c r="W46" s="139">
        <f t="shared" si="9"/>
        <v>0</v>
      </c>
      <c r="X46" s="139">
        <f t="shared" si="9"/>
        <v>0</v>
      </c>
      <c r="Y46" s="139">
        <f t="shared" si="9"/>
        <v>0</v>
      </c>
      <c r="Z46" s="139">
        <f t="shared" si="9"/>
        <v>0</v>
      </c>
      <c r="AA46" s="139">
        <f t="shared" si="9"/>
        <v>0</v>
      </c>
      <c r="AB46" s="139">
        <f t="shared" si="9"/>
        <v>0</v>
      </c>
      <c r="AC46" s="139">
        <f t="shared" si="9"/>
        <v>0</v>
      </c>
      <c r="AD46" s="139">
        <f t="shared" si="9"/>
        <v>0</v>
      </c>
      <c r="AE46" s="139">
        <f t="shared" si="9"/>
        <v>0</v>
      </c>
      <c r="AF46" s="139"/>
      <c r="AG46" s="139">
        <f t="shared" si="1"/>
        <v>67.99999999999997</v>
      </c>
      <c r="AH46" s="139">
        <f>AH40-AH41-AH42-AH43-AH44-AH45</f>
        <v>46.80000000000089</v>
      </c>
      <c r="AJ46" s="141"/>
    </row>
    <row r="47" spans="1:36" s="140" customFormat="1" ht="17.25" customHeight="1">
      <c r="A47" s="143" t="s">
        <v>43</v>
      </c>
      <c r="B47" s="142">
        <f>8106.7-26.4</f>
        <v>8080.3</v>
      </c>
      <c r="C47" s="138">
        <v>2988.9000000000015</v>
      </c>
      <c r="D47" s="139"/>
      <c r="E47" s="152">
        <v>53.2</v>
      </c>
      <c r="F47" s="152">
        <v>1580.1</v>
      </c>
      <c r="G47" s="152"/>
      <c r="H47" s="152">
        <v>1.8</v>
      </c>
      <c r="I47" s="152">
        <v>275.5</v>
      </c>
      <c r="J47" s="152">
        <v>317</v>
      </c>
      <c r="K47" s="152">
        <v>1.4</v>
      </c>
      <c r="L47" s="152">
        <v>24.8</v>
      </c>
      <c r="M47" s="152">
        <v>61.7</v>
      </c>
      <c r="N47" s="152">
        <v>64.6</v>
      </c>
      <c r="O47" s="152">
        <v>204.3</v>
      </c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39">
        <f t="shared" si="1"/>
        <v>2584.4</v>
      </c>
      <c r="AH47" s="139">
        <f>B47+C47-AG47</f>
        <v>8484.800000000001</v>
      </c>
      <c r="AJ47" s="141"/>
    </row>
    <row r="48" spans="1:36" s="140" customFormat="1" ht="15.75">
      <c r="A48" s="137" t="s">
        <v>5</v>
      </c>
      <c r="B48" s="138">
        <v>54.3</v>
      </c>
      <c r="C48" s="138">
        <v>104.30000000000004</v>
      </c>
      <c r="D48" s="139"/>
      <c r="E48" s="152"/>
      <c r="F48" s="152"/>
      <c r="G48" s="152"/>
      <c r="H48" s="152"/>
      <c r="I48" s="152"/>
      <c r="J48" s="152"/>
      <c r="K48" s="152"/>
      <c r="L48" s="152"/>
      <c r="M48" s="152"/>
      <c r="N48" s="152">
        <v>24.8</v>
      </c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39">
        <f t="shared" si="1"/>
        <v>24.8</v>
      </c>
      <c r="AH48" s="139">
        <f>B48+C48-AG48</f>
        <v>133.8</v>
      </c>
      <c r="AJ48" s="141"/>
    </row>
    <row r="49" spans="1:36" s="140" customFormat="1" ht="15.75">
      <c r="A49" s="137" t="s">
        <v>16</v>
      </c>
      <c r="B49" s="138">
        <f>7410.5-112</f>
        <v>7298.5</v>
      </c>
      <c r="C49" s="138">
        <v>2121.5000000000036</v>
      </c>
      <c r="D49" s="139"/>
      <c r="E49" s="139"/>
      <c r="F49" s="139">
        <v>1559.4</v>
      </c>
      <c r="G49" s="139"/>
      <c r="H49" s="139">
        <v>1.8</v>
      </c>
      <c r="I49" s="139">
        <f>223.8+10+38.2</f>
        <v>272</v>
      </c>
      <c r="J49" s="139">
        <v>307.2</v>
      </c>
      <c r="K49" s="139">
        <v>1.4</v>
      </c>
      <c r="L49" s="139">
        <v>24.8</v>
      </c>
      <c r="M49" s="139">
        <v>61.7</v>
      </c>
      <c r="N49" s="139">
        <v>20.4</v>
      </c>
      <c r="O49" s="139">
        <v>193</v>
      </c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>
        <f t="shared" si="1"/>
        <v>2441.7000000000003</v>
      </c>
      <c r="AH49" s="139">
        <f>B49+C49-AG49</f>
        <v>6978.300000000003</v>
      </c>
      <c r="AJ49" s="141"/>
    </row>
    <row r="50" spans="1:36" s="140" customFormat="1" ht="30" hidden="1">
      <c r="A50" s="153" t="s">
        <v>34</v>
      </c>
      <c r="B50" s="138"/>
      <c r="C50" s="138">
        <v>0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>
        <f t="shared" si="1"/>
        <v>0</v>
      </c>
      <c r="AH50" s="139">
        <f>B50+C50-AG50</f>
        <v>0</v>
      </c>
      <c r="AJ50" s="141"/>
    </row>
    <row r="51" spans="1:36" s="140" customFormat="1" ht="15.75">
      <c r="A51" s="154" t="s">
        <v>23</v>
      </c>
      <c r="B51" s="138">
        <f aca="true" t="shared" si="10" ref="B51:AE51">B47-B48-B49</f>
        <v>727.5</v>
      </c>
      <c r="C51" s="138">
        <v>763.0999999999977</v>
      </c>
      <c r="D51" s="139">
        <f t="shared" si="10"/>
        <v>0</v>
      </c>
      <c r="E51" s="139">
        <f t="shared" si="10"/>
        <v>53.2</v>
      </c>
      <c r="F51" s="139">
        <f t="shared" si="10"/>
        <v>20.699999999999818</v>
      </c>
      <c r="G51" s="139">
        <f t="shared" si="10"/>
        <v>0</v>
      </c>
      <c r="H51" s="139">
        <f>H47-H48-H49</f>
        <v>0</v>
      </c>
      <c r="I51" s="139">
        <f t="shared" si="10"/>
        <v>3.5</v>
      </c>
      <c r="J51" s="139">
        <f t="shared" si="10"/>
        <v>9.800000000000011</v>
      </c>
      <c r="K51" s="139">
        <f t="shared" si="10"/>
        <v>0</v>
      </c>
      <c r="L51" s="139">
        <f t="shared" si="10"/>
        <v>0</v>
      </c>
      <c r="M51" s="139">
        <f t="shared" si="10"/>
        <v>0</v>
      </c>
      <c r="N51" s="139">
        <f t="shared" si="10"/>
        <v>19.4</v>
      </c>
      <c r="O51" s="139">
        <f t="shared" si="10"/>
        <v>11.300000000000011</v>
      </c>
      <c r="P51" s="139">
        <f t="shared" si="10"/>
        <v>0</v>
      </c>
      <c r="Q51" s="139">
        <f t="shared" si="10"/>
        <v>0</v>
      </c>
      <c r="R51" s="139">
        <f t="shared" si="10"/>
        <v>0</v>
      </c>
      <c r="S51" s="139">
        <f t="shared" si="10"/>
        <v>0</v>
      </c>
      <c r="T51" s="139">
        <f t="shared" si="10"/>
        <v>0</v>
      </c>
      <c r="U51" s="139">
        <f t="shared" si="10"/>
        <v>0</v>
      </c>
      <c r="V51" s="139">
        <f t="shared" si="10"/>
        <v>0</v>
      </c>
      <c r="W51" s="139">
        <f t="shared" si="10"/>
        <v>0</v>
      </c>
      <c r="X51" s="139">
        <f t="shared" si="10"/>
        <v>0</v>
      </c>
      <c r="Y51" s="139">
        <f t="shared" si="10"/>
        <v>0</v>
      </c>
      <c r="Z51" s="139">
        <f t="shared" si="10"/>
        <v>0</v>
      </c>
      <c r="AA51" s="139">
        <f t="shared" si="10"/>
        <v>0</v>
      </c>
      <c r="AB51" s="139">
        <f t="shared" si="10"/>
        <v>0</v>
      </c>
      <c r="AC51" s="139">
        <f t="shared" si="10"/>
        <v>0</v>
      </c>
      <c r="AD51" s="139">
        <f t="shared" si="10"/>
        <v>0</v>
      </c>
      <c r="AE51" s="139">
        <f t="shared" si="10"/>
        <v>0</v>
      </c>
      <c r="AF51" s="139"/>
      <c r="AG51" s="139">
        <f t="shared" si="1"/>
        <v>117.89999999999984</v>
      </c>
      <c r="AH51" s="139">
        <f>AH47-AH49-AH48</f>
        <v>1372.6999999999982</v>
      </c>
      <c r="AJ51" s="141"/>
    </row>
    <row r="52" spans="1:36" s="140" customFormat="1" ht="15" customHeight="1">
      <c r="A52" s="143" t="s">
        <v>0</v>
      </c>
      <c r="B52" s="138">
        <f>12178.3-243-100</f>
        <v>11835.3</v>
      </c>
      <c r="C52" s="138">
        <v>2986.9999999999973</v>
      </c>
      <c r="D52" s="139"/>
      <c r="E52" s="139">
        <v>83.7</v>
      </c>
      <c r="F52" s="139">
        <v>1947.1</v>
      </c>
      <c r="G52" s="139">
        <v>120.8</v>
      </c>
      <c r="H52" s="139">
        <v>2138.3</v>
      </c>
      <c r="I52" s="139">
        <v>316.7</v>
      </c>
      <c r="J52" s="139">
        <v>8.7</v>
      </c>
      <c r="K52" s="139">
        <v>5.2</v>
      </c>
      <c r="L52" s="139">
        <v>1499.8</v>
      </c>
      <c r="M52" s="139">
        <v>122.3</v>
      </c>
      <c r="N52" s="139">
        <v>322.5</v>
      </c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>
        <f t="shared" si="1"/>
        <v>6565.099999999999</v>
      </c>
      <c r="AH52" s="139">
        <f aca="true" t="shared" si="11" ref="AH52:AH59">B52+C52-AG52</f>
        <v>8257.199999999997</v>
      </c>
      <c r="AJ52" s="141"/>
    </row>
    <row r="53" spans="1:36" s="140" customFormat="1" ht="15" customHeight="1">
      <c r="A53" s="137" t="s">
        <v>2</v>
      </c>
      <c r="B53" s="138">
        <v>1788.4</v>
      </c>
      <c r="C53" s="138">
        <v>74.59999999999945</v>
      </c>
      <c r="D53" s="139"/>
      <c r="E53" s="139">
        <v>83.7</v>
      </c>
      <c r="F53" s="139">
        <v>677.1</v>
      </c>
      <c r="G53" s="139">
        <v>35.3</v>
      </c>
      <c r="H53" s="139"/>
      <c r="I53" s="139">
        <v>47.9</v>
      </c>
      <c r="J53" s="139">
        <v>8.7</v>
      </c>
      <c r="K53" s="139"/>
      <c r="L53" s="139"/>
      <c r="M53" s="139">
        <v>62.1</v>
      </c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>
        <f t="shared" si="1"/>
        <v>914.8000000000001</v>
      </c>
      <c r="AH53" s="139">
        <f t="shared" si="11"/>
        <v>948.1999999999995</v>
      </c>
      <c r="AJ53" s="141"/>
    </row>
    <row r="54" spans="1:36" s="140" customFormat="1" ht="15" customHeight="1">
      <c r="A54" s="143" t="s">
        <v>9</v>
      </c>
      <c r="B54" s="151">
        <f>1909.6+16.9+150.8</f>
        <v>2077.3</v>
      </c>
      <c r="C54" s="138">
        <v>1168.1999999999998</v>
      </c>
      <c r="D54" s="139"/>
      <c r="E54" s="139">
        <v>185.8</v>
      </c>
      <c r="F54" s="139">
        <v>4.3</v>
      </c>
      <c r="G54" s="139">
        <v>148.9</v>
      </c>
      <c r="H54" s="139"/>
      <c r="I54" s="139">
        <v>148.4</v>
      </c>
      <c r="J54" s="139"/>
      <c r="K54" s="139"/>
      <c r="L54" s="139">
        <v>519.2</v>
      </c>
      <c r="M54" s="139">
        <v>43</v>
      </c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>
        <f t="shared" si="1"/>
        <v>1049.6</v>
      </c>
      <c r="AH54" s="139">
        <f t="shared" si="11"/>
        <v>2195.9</v>
      </c>
      <c r="AI54" s="141"/>
      <c r="AJ54" s="141"/>
    </row>
    <row r="55" spans="1:36" s="140" customFormat="1" ht="15.75">
      <c r="A55" s="137" t="s">
        <v>5</v>
      </c>
      <c r="B55" s="138">
        <v>1306.2</v>
      </c>
      <c r="C55" s="138">
        <v>236.39999999999986</v>
      </c>
      <c r="D55" s="139"/>
      <c r="E55" s="139"/>
      <c r="F55" s="139">
        <v>4.3</v>
      </c>
      <c r="G55" s="139"/>
      <c r="H55" s="139"/>
      <c r="I55" s="139">
        <v>120.7</v>
      </c>
      <c r="J55" s="139"/>
      <c r="K55" s="139"/>
      <c r="L55" s="139">
        <v>413.3</v>
      </c>
      <c r="M55" s="139">
        <v>43</v>
      </c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>
        <f t="shared" si="1"/>
        <v>581.3</v>
      </c>
      <c r="AH55" s="139">
        <f t="shared" si="11"/>
        <v>961.3</v>
      </c>
      <c r="AI55" s="141"/>
      <c r="AJ55" s="141"/>
    </row>
    <row r="56" spans="1:36" s="140" customFormat="1" ht="15" customHeight="1">
      <c r="A56" s="137" t="s">
        <v>1</v>
      </c>
      <c r="B56" s="138"/>
      <c r="C56" s="138">
        <v>0</v>
      </c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>
        <f t="shared" si="1"/>
        <v>0</v>
      </c>
      <c r="AH56" s="139">
        <f t="shared" si="11"/>
        <v>0</v>
      </c>
      <c r="AI56" s="141"/>
      <c r="AJ56" s="141"/>
    </row>
    <row r="57" spans="1:36" s="140" customFormat="1" ht="15.75">
      <c r="A57" s="137" t="s">
        <v>2</v>
      </c>
      <c r="B57" s="142">
        <v>18.3</v>
      </c>
      <c r="C57" s="138">
        <v>186.89999999999992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>
        <f t="shared" si="1"/>
        <v>0</v>
      </c>
      <c r="AH57" s="139">
        <f t="shared" si="11"/>
        <v>205.19999999999993</v>
      </c>
      <c r="AJ57" s="141"/>
    </row>
    <row r="58" spans="1:36" s="140" customFormat="1" ht="15.75">
      <c r="A58" s="137" t="s">
        <v>16</v>
      </c>
      <c r="B58" s="142"/>
      <c r="C58" s="138">
        <v>53.8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>
        <f t="shared" si="1"/>
        <v>0</v>
      </c>
      <c r="AH58" s="139">
        <f t="shared" si="11"/>
        <v>53.8</v>
      </c>
      <c r="AJ58" s="141"/>
    </row>
    <row r="59" spans="1:36" s="140" customFormat="1" ht="15.75" hidden="1">
      <c r="A59" s="137" t="s">
        <v>15</v>
      </c>
      <c r="B59" s="138"/>
      <c r="C59" s="138">
        <v>0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>
        <f t="shared" si="1"/>
        <v>0</v>
      </c>
      <c r="AH59" s="139">
        <f t="shared" si="11"/>
        <v>0</v>
      </c>
      <c r="AJ59" s="141"/>
    </row>
    <row r="60" spans="1:36" s="140" customFormat="1" ht="15.75">
      <c r="A60" s="137" t="s">
        <v>23</v>
      </c>
      <c r="B60" s="138">
        <f aca="true" t="shared" si="12" ref="B60:AE60">B54-B55-B57-B59-B56-B58</f>
        <v>752.8000000000002</v>
      </c>
      <c r="C60" s="138">
        <v>691.1000000000001</v>
      </c>
      <c r="D60" s="139">
        <f t="shared" si="12"/>
        <v>0</v>
      </c>
      <c r="E60" s="139">
        <f t="shared" si="12"/>
        <v>185.8</v>
      </c>
      <c r="F60" s="139">
        <f t="shared" si="12"/>
        <v>0</v>
      </c>
      <c r="G60" s="139">
        <f t="shared" si="12"/>
        <v>148.9</v>
      </c>
      <c r="H60" s="139">
        <f>H54-H55-H57-H59-H56-H58</f>
        <v>0</v>
      </c>
      <c r="I60" s="139">
        <f t="shared" si="12"/>
        <v>27.700000000000003</v>
      </c>
      <c r="J60" s="139">
        <f t="shared" si="12"/>
        <v>0</v>
      </c>
      <c r="K60" s="139">
        <f t="shared" si="12"/>
        <v>0</v>
      </c>
      <c r="L60" s="139">
        <f t="shared" si="12"/>
        <v>105.90000000000003</v>
      </c>
      <c r="M60" s="139">
        <f t="shared" si="12"/>
        <v>0</v>
      </c>
      <c r="N60" s="139">
        <f t="shared" si="12"/>
        <v>0</v>
      </c>
      <c r="O60" s="139">
        <f t="shared" si="12"/>
        <v>0</v>
      </c>
      <c r="P60" s="139">
        <f t="shared" si="12"/>
        <v>0</v>
      </c>
      <c r="Q60" s="139">
        <f t="shared" si="12"/>
        <v>0</v>
      </c>
      <c r="R60" s="139">
        <f t="shared" si="12"/>
        <v>0</v>
      </c>
      <c r="S60" s="139">
        <f t="shared" si="12"/>
        <v>0</v>
      </c>
      <c r="T60" s="139">
        <f t="shared" si="12"/>
        <v>0</v>
      </c>
      <c r="U60" s="139">
        <f t="shared" si="12"/>
        <v>0</v>
      </c>
      <c r="V60" s="139">
        <f t="shared" si="12"/>
        <v>0</v>
      </c>
      <c r="W60" s="139">
        <f t="shared" si="12"/>
        <v>0</v>
      </c>
      <c r="X60" s="139">
        <f t="shared" si="12"/>
        <v>0</v>
      </c>
      <c r="Y60" s="139">
        <f t="shared" si="12"/>
        <v>0</v>
      </c>
      <c r="Z60" s="139">
        <f t="shared" si="12"/>
        <v>0</v>
      </c>
      <c r="AA60" s="139">
        <f t="shared" si="12"/>
        <v>0</v>
      </c>
      <c r="AB60" s="139">
        <f t="shared" si="12"/>
        <v>0</v>
      </c>
      <c r="AC60" s="139">
        <f t="shared" si="12"/>
        <v>0</v>
      </c>
      <c r="AD60" s="139">
        <f t="shared" si="12"/>
        <v>0</v>
      </c>
      <c r="AE60" s="139">
        <f t="shared" si="12"/>
        <v>0</v>
      </c>
      <c r="AF60" s="139"/>
      <c r="AG60" s="139">
        <f>AG54-AG55-AG57-AG59-AG56-AG58</f>
        <v>468.29999999999995</v>
      </c>
      <c r="AH60" s="139">
        <f>AH54-AH55-AH57-AH59-AH56-AH58</f>
        <v>975.6000000000001</v>
      </c>
      <c r="AJ60" s="141"/>
    </row>
    <row r="61" spans="1:36" s="140" customFormat="1" ht="15" customHeight="1">
      <c r="A61" s="143" t="s">
        <v>10</v>
      </c>
      <c r="B61" s="138">
        <v>84</v>
      </c>
      <c r="C61" s="138">
        <v>63.29999999999999</v>
      </c>
      <c r="D61" s="139"/>
      <c r="E61" s="139"/>
      <c r="F61" s="139"/>
      <c r="G61" s="139"/>
      <c r="H61" s="139"/>
      <c r="I61" s="139"/>
      <c r="J61" s="139">
        <v>20.4</v>
      </c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>
        <f aca="true" t="shared" si="13" ref="AG61:AG92">SUM(D61:AE61)</f>
        <v>20.4</v>
      </c>
      <c r="AH61" s="139">
        <f aca="true" t="shared" si="14" ref="AH61:AH67">B61+C61-AG61</f>
        <v>126.89999999999998</v>
      </c>
      <c r="AJ61" s="141"/>
    </row>
    <row r="62" spans="1:36" s="140" customFormat="1" ht="15" customHeight="1">
      <c r="A62" s="143" t="s">
        <v>11</v>
      </c>
      <c r="B62" s="138">
        <f>4441.9-400</f>
        <v>4041.8999999999996</v>
      </c>
      <c r="C62" s="138">
        <v>5154.400000000001</v>
      </c>
      <c r="D62" s="139"/>
      <c r="E62" s="139">
        <v>193</v>
      </c>
      <c r="F62" s="139"/>
      <c r="G62" s="139">
        <v>4</v>
      </c>
      <c r="H62" s="139">
        <v>175.2</v>
      </c>
      <c r="I62" s="139"/>
      <c r="J62" s="139">
        <v>42.8</v>
      </c>
      <c r="K62" s="139"/>
      <c r="L62" s="139">
        <v>902.9</v>
      </c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>
        <f t="shared" si="13"/>
        <v>1317.9</v>
      </c>
      <c r="AH62" s="139">
        <f t="shared" si="14"/>
        <v>7878.4</v>
      </c>
      <c r="AJ62" s="141"/>
    </row>
    <row r="63" spans="1:36" s="140" customFormat="1" ht="15.75">
      <c r="A63" s="137" t="s">
        <v>5</v>
      </c>
      <c r="B63" s="138">
        <v>2680.6</v>
      </c>
      <c r="C63" s="138">
        <v>755.3999999999996</v>
      </c>
      <c r="D63" s="139"/>
      <c r="E63" s="139">
        <v>193</v>
      </c>
      <c r="F63" s="139"/>
      <c r="G63" s="139"/>
      <c r="H63" s="139"/>
      <c r="I63" s="139"/>
      <c r="J63" s="139"/>
      <c r="K63" s="139"/>
      <c r="L63" s="139">
        <v>703.6</v>
      </c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>
        <f t="shared" si="13"/>
        <v>896.6</v>
      </c>
      <c r="AH63" s="139">
        <f t="shared" si="14"/>
        <v>2539.3999999999996</v>
      </c>
      <c r="AI63" s="155"/>
      <c r="AJ63" s="141"/>
    </row>
    <row r="64" spans="1:36" s="140" customFormat="1" ht="15.75" hidden="1">
      <c r="A64" s="137" t="s">
        <v>3</v>
      </c>
      <c r="B64" s="138"/>
      <c r="C64" s="138">
        <v>0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>
        <f t="shared" si="13"/>
        <v>0</v>
      </c>
      <c r="AH64" s="139">
        <f t="shared" si="14"/>
        <v>0</v>
      </c>
      <c r="AI64" s="141"/>
      <c r="AJ64" s="141"/>
    </row>
    <row r="65" spans="1:36" s="140" customFormat="1" ht="15.75">
      <c r="A65" s="137" t="s">
        <v>1</v>
      </c>
      <c r="B65" s="138">
        <v>284.4</v>
      </c>
      <c r="C65" s="138">
        <v>745.5</v>
      </c>
      <c r="D65" s="139"/>
      <c r="E65" s="139"/>
      <c r="F65" s="139"/>
      <c r="G65" s="139"/>
      <c r="H65" s="139">
        <v>84.1</v>
      </c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>
        <f t="shared" si="13"/>
        <v>84.1</v>
      </c>
      <c r="AH65" s="139">
        <f t="shared" si="14"/>
        <v>945.8000000000001</v>
      </c>
      <c r="AI65" s="141"/>
      <c r="AJ65" s="141"/>
    </row>
    <row r="66" spans="1:36" s="140" customFormat="1" ht="15.75">
      <c r="A66" s="137" t="s">
        <v>2</v>
      </c>
      <c r="B66" s="138">
        <v>30.3</v>
      </c>
      <c r="C66" s="138">
        <v>104.69999999999997</v>
      </c>
      <c r="D66" s="139"/>
      <c r="E66" s="139"/>
      <c r="F66" s="139"/>
      <c r="G66" s="139"/>
      <c r="H66" s="139">
        <v>0.4</v>
      </c>
      <c r="I66" s="139"/>
      <c r="J66" s="139">
        <v>17.9</v>
      </c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>
        <f t="shared" si="13"/>
        <v>18.299999999999997</v>
      </c>
      <c r="AH66" s="139">
        <f t="shared" si="14"/>
        <v>116.69999999999997</v>
      </c>
      <c r="AJ66" s="141"/>
    </row>
    <row r="67" spans="1:36" s="140" customFormat="1" ht="15.75">
      <c r="A67" s="137" t="s">
        <v>16</v>
      </c>
      <c r="B67" s="138">
        <v>308</v>
      </c>
      <c r="C67" s="138">
        <v>567.7</v>
      </c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>
        <f t="shared" si="13"/>
        <v>0</v>
      </c>
      <c r="AH67" s="139">
        <f t="shared" si="14"/>
        <v>875.7</v>
      </c>
      <c r="AJ67" s="141"/>
    </row>
    <row r="68" spans="1:36" s="140" customFormat="1" ht="15.75">
      <c r="A68" s="137" t="s">
        <v>23</v>
      </c>
      <c r="B68" s="138">
        <f aca="true" t="shared" si="15" ref="B68:AE68">B62-B63-B66-B67-B65-B64</f>
        <v>738.5999999999998</v>
      </c>
      <c r="C68" s="138">
        <v>2981.1000000000013</v>
      </c>
      <c r="D68" s="139">
        <f t="shared" si="15"/>
        <v>0</v>
      </c>
      <c r="E68" s="139">
        <f t="shared" si="15"/>
        <v>0</v>
      </c>
      <c r="F68" s="139">
        <f t="shared" si="15"/>
        <v>0</v>
      </c>
      <c r="G68" s="139">
        <f t="shared" si="15"/>
        <v>4</v>
      </c>
      <c r="H68" s="139">
        <f>H62-H63-H66-H67-H65-H64</f>
        <v>90.69999999999999</v>
      </c>
      <c r="I68" s="139">
        <f t="shared" si="15"/>
        <v>0</v>
      </c>
      <c r="J68" s="139">
        <f t="shared" si="15"/>
        <v>24.9</v>
      </c>
      <c r="K68" s="139">
        <f t="shared" si="15"/>
        <v>0</v>
      </c>
      <c r="L68" s="139">
        <f t="shared" si="15"/>
        <v>199.29999999999995</v>
      </c>
      <c r="M68" s="139">
        <f t="shared" si="15"/>
        <v>0</v>
      </c>
      <c r="N68" s="139">
        <f t="shared" si="15"/>
        <v>0</v>
      </c>
      <c r="O68" s="139">
        <f t="shared" si="15"/>
        <v>0</v>
      </c>
      <c r="P68" s="139">
        <f t="shared" si="15"/>
        <v>0</v>
      </c>
      <c r="Q68" s="139">
        <f t="shared" si="15"/>
        <v>0</v>
      </c>
      <c r="R68" s="139">
        <f t="shared" si="15"/>
        <v>0</v>
      </c>
      <c r="S68" s="139">
        <f t="shared" si="15"/>
        <v>0</v>
      </c>
      <c r="T68" s="139">
        <f t="shared" si="15"/>
        <v>0</v>
      </c>
      <c r="U68" s="139">
        <f t="shared" si="15"/>
        <v>0</v>
      </c>
      <c r="V68" s="139">
        <f t="shared" si="15"/>
        <v>0</v>
      </c>
      <c r="W68" s="139">
        <f t="shared" si="15"/>
        <v>0</v>
      </c>
      <c r="X68" s="139">
        <f t="shared" si="15"/>
        <v>0</v>
      </c>
      <c r="Y68" s="139">
        <f t="shared" si="15"/>
        <v>0</v>
      </c>
      <c r="Z68" s="139">
        <f t="shared" si="15"/>
        <v>0</v>
      </c>
      <c r="AA68" s="139">
        <f t="shared" si="15"/>
        <v>0</v>
      </c>
      <c r="AB68" s="139">
        <f t="shared" si="15"/>
        <v>0</v>
      </c>
      <c r="AC68" s="139">
        <f t="shared" si="15"/>
        <v>0</v>
      </c>
      <c r="AD68" s="139">
        <f t="shared" si="15"/>
        <v>0</v>
      </c>
      <c r="AE68" s="139">
        <f t="shared" si="15"/>
        <v>0</v>
      </c>
      <c r="AF68" s="139"/>
      <c r="AG68" s="139">
        <f t="shared" si="13"/>
        <v>318.9</v>
      </c>
      <c r="AH68" s="139">
        <f>AH62-AH63-AH66-AH67-AH65-AH64</f>
        <v>3400.8</v>
      </c>
      <c r="AJ68" s="141"/>
    </row>
    <row r="69" spans="1:36" s="140" customFormat="1" ht="31.5">
      <c r="A69" s="143" t="s">
        <v>45</v>
      </c>
      <c r="B69" s="138">
        <v>2253.9</v>
      </c>
      <c r="C69" s="138">
        <v>43.700000000000045</v>
      </c>
      <c r="D69" s="139"/>
      <c r="E69" s="139"/>
      <c r="F69" s="139">
        <v>941.7</v>
      </c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>
        <f t="shared" si="13"/>
        <v>941.7</v>
      </c>
      <c r="AH69" s="181">
        <f aca="true" t="shared" si="16" ref="AH69:AH92">B69+C69-AG69</f>
        <v>1355.9000000000003</v>
      </c>
      <c r="AJ69" s="141"/>
    </row>
    <row r="70" spans="1:36" s="140" customFormat="1" ht="15.75" hidden="1">
      <c r="A70" s="143" t="s">
        <v>32</v>
      </c>
      <c r="B70" s="138"/>
      <c r="C70" s="138">
        <v>0</v>
      </c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>
        <f t="shared" si="13"/>
        <v>0</v>
      </c>
      <c r="AH70" s="181">
        <f t="shared" si="16"/>
        <v>0</v>
      </c>
      <c r="AJ70" s="141"/>
    </row>
    <row r="71" spans="1:51" s="140" customFormat="1" ht="31.5">
      <c r="A71" s="143" t="s">
        <v>46</v>
      </c>
      <c r="B71" s="138">
        <v>1001.1</v>
      </c>
      <c r="C71" s="182">
        <v>457.4000000000001</v>
      </c>
      <c r="D71" s="152"/>
      <c r="E71" s="152"/>
      <c r="F71" s="152"/>
      <c r="G71" s="152"/>
      <c r="H71" s="152"/>
      <c r="I71" s="152"/>
      <c r="J71" s="152"/>
      <c r="K71" s="152"/>
      <c r="L71" s="152">
        <v>719.5</v>
      </c>
      <c r="M71" s="152"/>
      <c r="N71" s="152">
        <v>23.4</v>
      </c>
      <c r="O71" s="152">
        <v>379.6</v>
      </c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39">
        <f t="shared" si="13"/>
        <v>1122.5</v>
      </c>
      <c r="AH71" s="181">
        <f t="shared" si="16"/>
        <v>336</v>
      </c>
      <c r="AI71" s="191"/>
      <c r="AJ71" s="141"/>
      <c r="AK71" s="191"/>
      <c r="AL71" s="191"/>
      <c r="AM71" s="191"/>
      <c r="AN71" s="191"/>
      <c r="AO71" s="191"/>
      <c r="AP71" s="191"/>
      <c r="AQ71" s="191"/>
      <c r="AR71" s="191"/>
      <c r="AS71" s="191"/>
      <c r="AT71" s="191"/>
      <c r="AU71" s="191"/>
      <c r="AV71" s="191"/>
      <c r="AW71" s="191"/>
      <c r="AX71" s="191"/>
      <c r="AY71" s="191"/>
    </row>
    <row r="72" spans="1:36" s="140" customFormat="1" ht="15" customHeight="1">
      <c r="A72" s="143" t="s">
        <v>47</v>
      </c>
      <c r="B72" s="151">
        <f>40+40+49.5+25+28+494.3+39.7+41+96+43+328.2+25+4+775.1+30-154.3-700-21</f>
        <v>1183.5000000000002</v>
      </c>
      <c r="C72" s="138">
        <v>3018.8</v>
      </c>
      <c r="D72" s="139"/>
      <c r="E72" s="139">
        <v>46.7</v>
      </c>
      <c r="F72" s="139">
        <f>11.1+109.9+12.5</f>
        <v>133.5</v>
      </c>
      <c r="G72" s="139"/>
      <c r="H72" s="139">
        <v>65.9</v>
      </c>
      <c r="I72" s="139"/>
      <c r="J72" s="139">
        <v>26.2</v>
      </c>
      <c r="K72" s="139">
        <v>1.7</v>
      </c>
      <c r="L72" s="139"/>
      <c r="M72" s="139"/>
      <c r="N72" s="139"/>
      <c r="O72" s="139">
        <v>0.3</v>
      </c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>
        <f t="shared" si="13"/>
        <v>274.3</v>
      </c>
      <c r="AH72" s="181">
        <f t="shared" si="16"/>
        <v>3928</v>
      </c>
      <c r="AJ72" s="141"/>
    </row>
    <row r="73" spans="1:36" s="140" customFormat="1" ht="15" customHeight="1">
      <c r="A73" s="137" t="s">
        <v>5</v>
      </c>
      <c r="B73" s="138">
        <v>0</v>
      </c>
      <c r="C73" s="138">
        <v>0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>
        <f t="shared" si="13"/>
        <v>0</v>
      </c>
      <c r="AH73" s="181">
        <f t="shared" si="16"/>
        <v>0</v>
      </c>
      <c r="AJ73" s="141"/>
    </row>
    <row r="74" spans="1:36" s="140" customFormat="1" ht="15" customHeight="1">
      <c r="A74" s="137" t="s">
        <v>2</v>
      </c>
      <c r="B74" s="138">
        <f>88+31-0.1</f>
        <v>118.9</v>
      </c>
      <c r="C74" s="138">
        <v>597.5</v>
      </c>
      <c r="D74" s="139"/>
      <c r="E74" s="139"/>
      <c r="F74" s="139">
        <v>11.1</v>
      </c>
      <c r="G74" s="139"/>
      <c r="H74" s="139">
        <f>60+4.8</f>
        <v>64.8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>
        <f t="shared" si="13"/>
        <v>75.89999999999999</v>
      </c>
      <c r="AH74" s="181">
        <f t="shared" si="16"/>
        <v>640.5</v>
      </c>
      <c r="AJ74" s="141"/>
    </row>
    <row r="75" spans="1:36" s="140" customFormat="1" ht="15" customHeight="1">
      <c r="A75" s="137" t="s">
        <v>16</v>
      </c>
      <c r="B75" s="138">
        <f>15+14.2</f>
        <v>29.2</v>
      </c>
      <c r="C75" s="138">
        <v>121.6</v>
      </c>
      <c r="D75" s="139"/>
      <c r="E75" s="139"/>
      <c r="F75" s="139"/>
      <c r="G75" s="139"/>
      <c r="H75" s="139"/>
      <c r="I75" s="139"/>
      <c r="J75" s="139"/>
      <c r="K75" s="139">
        <v>1.4</v>
      </c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>
        <f t="shared" si="13"/>
        <v>1.4</v>
      </c>
      <c r="AH75" s="181">
        <f t="shared" si="16"/>
        <v>149.39999999999998</v>
      </c>
      <c r="AJ75" s="141"/>
    </row>
    <row r="76" spans="1:36" s="192" customFormat="1" ht="15.75">
      <c r="A76" s="183" t="s">
        <v>48</v>
      </c>
      <c r="B76" s="138">
        <f>743.8+242.3-600</f>
        <v>386.0999999999999</v>
      </c>
      <c r="C76" s="138">
        <v>43.799999999999955</v>
      </c>
      <c r="D76" s="139"/>
      <c r="E76" s="152"/>
      <c r="F76" s="152">
        <v>21.4</v>
      </c>
      <c r="G76" s="152"/>
      <c r="H76" s="152"/>
      <c r="I76" s="152"/>
      <c r="J76" s="152"/>
      <c r="K76" s="152">
        <v>117.4</v>
      </c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39">
        <f t="shared" si="13"/>
        <v>138.8</v>
      </c>
      <c r="AH76" s="181">
        <f t="shared" si="16"/>
        <v>291.09999999999985</v>
      </c>
      <c r="AJ76" s="141"/>
    </row>
    <row r="77" spans="1:36" s="192" customFormat="1" ht="15.75">
      <c r="A77" s="137" t="s">
        <v>5</v>
      </c>
      <c r="B77" s="138">
        <v>199.6</v>
      </c>
      <c r="C77" s="138">
        <v>16.899999999999977</v>
      </c>
      <c r="D77" s="139"/>
      <c r="E77" s="152"/>
      <c r="F77" s="152">
        <v>20.9</v>
      </c>
      <c r="G77" s="152"/>
      <c r="H77" s="152"/>
      <c r="I77" s="152"/>
      <c r="J77" s="152"/>
      <c r="K77" s="152">
        <v>115.1</v>
      </c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39">
        <f t="shared" si="13"/>
        <v>136</v>
      </c>
      <c r="AH77" s="181">
        <f t="shared" si="16"/>
        <v>80.49999999999997</v>
      </c>
      <c r="AJ77" s="141"/>
    </row>
    <row r="78" spans="1:36" s="192" customFormat="1" ht="15.75" hidden="1">
      <c r="A78" s="137" t="s">
        <v>3</v>
      </c>
      <c r="B78" s="138"/>
      <c r="C78" s="138">
        <v>0</v>
      </c>
      <c r="D78" s="139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39">
        <f t="shared" si="13"/>
        <v>0</v>
      </c>
      <c r="AH78" s="181">
        <f t="shared" si="16"/>
        <v>0</v>
      </c>
      <c r="AJ78" s="141"/>
    </row>
    <row r="79" spans="1:36" s="192" customFormat="1" ht="15.75" hidden="1">
      <c r="A79" s="137" t="s">
        <v>1</v>
      </c>
      <c r="B79" s="138"/>
      <c r="C79" s="138">
        <v>0</v>
      </c>
      <c r="D79" s="139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39">
        <f t="shared" si="13"/>
        <v>0</v>
      </c>
      <c r="AH79" s="181">
        <f t="shared" si="16"/>
        <v>0</v>
      </c>
      <c r="AJ79" s="141"/>
    </row>
    <row r="80" spans="1:36" s="192" customFormat="1" ht="15.75">
      <c r="A80" s="137" t="s">
        <v>2</v>
      </c>
      <c r="B80" s="138">
        <v>0.6</v>
      </c>
      <c r="C80" s="138">
        <v>2.0000000000000013</v>
      </c>
      <c r="D80" s="139"/>
      <c r="E80" s="152"/>
      <c r="F80" s="152">
        <v>0.5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2"/>
      <c r="Y80" s="152"/>
      <c r="Z80" s="152"/>
      <c r="AA80" s="152"/>
      <c r="AB80" s="152"/>
      <c r="AC80" s="152"/>
      <c r="AD80" s="152"/>
      <c r="AE80" s="152"/>
      <c r="AF80" s="152"/>
      <c r="AG80" s="139">
        <f t="shared" si="13"/>
        <v>0.5</v>
      </c>
      <c r="AH80" s="181">
        <f t="shared" si="16"/>
        <v>2.1000000000000014</v>
      </c>
      <c r="AJ80" s="141"/>
    </row>
    <row r="81" spans="1:36" s="112" customFormat="1" ht="15.75">
      <c r="A81" s="183" t="s">
        <v>49</v>
      </c>
      <c r="B81" s="138">
        <v>0</v>
      </c>
      <c r="C81" s="182">
        <v>0</v>
      </c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  <c r="AE81" s="152"/>
      <c r="AF81" s="152"/>
      <c r="AG81" s="139">
        <f t="shared" si="13"/>
        <v>0</v>
      </c>
      <c r="AH81" s="181">
        <f t="shared" si="16"/>
        <v>0</v>
      </c>
      <c r="AJ81" s="21"/>
    </row>
    <row r="82" spans="1:36" s="112" customFormat="1" ht="15.75" hidden="1">
      <c r="A82" s="183" t="s">
        <v>41</v>
      </c>
      <c r="B82" s="138"/>
      <c r="C82" s="182">
        <v>0</v>
      </c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  <c r="Y82" s="152"/>
      <c r="Z82" s="152"/>
      <c r="AA82" s="152"/>
      <c r="AB82" s="152"/>
      <c r="AC82" s="152"/>
      <c r="AD82" s="152"/>
      <c r="AE82" s="152"/>
      <c r="AF82" s="152"/>
      <c r="AG82" s="139">
        <f t="shared" si="13"/>
        <v>0</v>
      </c>
      <c r="AH82" s="181">
        <f t="shared" si="16"/>
        <v>0</v>
      </c>
      <c r="AJ82" s="21"/>
    </row>
    <row r="83" spans="1:36" s="112" customFormat="1" ht="15.75" hidden="1">
      <c r="A83" s="183" t="s">
        <v>40</v>
      </c>
      <c r="B83" s="182"/>
      <c r="C83" s="182">
        <v>0</v>
      </c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2"/>
      <c r="Y83" s="152"/>
      <c r="Z83" s="152"/>
      <c r="AA83" s="152"/>
      <c r="AB83" s="152"/>
      <c r="AC83" s="152"/>
      <c r="AD83" s="152"/>
      <c r="AE83" s="152"/>
      <c r="AF83" s="152"/>
      <c r="AG83" s="139">
        <f t="shared" si="13"/>
        <v>0</v>
      </c>
      <c r="AH83" s="139">
        <f t="shared" si="16"/>
        <v>0</v>
      </c>
      <c r="AJ83" s="21"/>
    </row>
    <row r="84" spans="1:36" s="112" customFormat="1" ht="15.75" hidden="1">
      <c r="A84" s="184" t="s">
        <v>21</v>
      </c>
      <c r="B84" s="138"/>
      <c r="C84" s="182">
        <v>0</v>
      </c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  <c r="Y84" s="152"/>
      <c r="Z84" s="152"/>
      <c r="AA84" s="152"/>
      <c r="AB84" s="152"/>
      <c r="AC84" s="152"/>
      <c r="AD84" s="152"/>
      <c r="AE84" s="152"/>
      <c r="AF84" s="152"/>
      <c r="AG84" s="139">
        <f t="shared" si="13"/>
        <v>0</v>
      </c>
      <c r="AH84" s="139">
        <f t="shared" si="16"/>
        <v>0</v>
      </c>
      <c r="AJ84" s="21"/>
    </row>
    <row r="85" spans="1:36" s="112" customFormat="1" ht="15.75" hidden="1">
      <c r="A85" s="184" t="s">
        <v>22</v>
      </c>
      <c r="B85" s="138"/>
      <c r="C85" s="182">
        <v>0</v>
      </c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  <c r="AE85" s="152"/>
      <c r="AF85" s="152"/>
      <c r="AG85" s="139">
        <f t="shared" si="13"/>
        <v>0</v>
      </c>
      <c r="AH85" s="139">
        <f t="shared" si="16"/>
        <v>0</v>
      </c>
      <c r="AJ85" s="21"/>
    </row>
    <row r="86" spans="1:36" s="112" customFormat="1" ht="31.5" hidden="1">
      <c r="A86" s="184" t="s">
        <v>24</v>
      </c>
      <c r="B86" s="138"/>
      <c r="C86" s="182">
        <v>0</v>
      </c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39">
        <f t="shared" si="13"/>
        <v>0</v>
      </c>
      <c r="AH86" s="139">
        <f t="shared" si="16"/>
        <v>0</v>
      </c>
      <c r="AJ86" s="21"/>
    </row>
    <row r="87" spans="1:36" s="112" customFormat="1" ht="31.5" hidden="1">
      <c r="A87" s="184" t="s">
        <v>28</v>
      </c>
      <c r="B87" s="138"/>
      <c r="C87" s="182">
        <v>0</v>
      </c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39">
        <f t="shared" si="13"/>
        <v>0</v>
      </c>
      <c r="AH87" s="139">
        <f t="shared" si="16"/>
        <v>0</v>
      </c>
      <c r="AJ87" s="21"/>
    </row>
    <row r="88" spans="1:36" s="18" customFormat="1" ht="15.75">
      <c r="A88" s="143" t="s">
        <v>58</v>
      </c>
      <c r="B88" s="138">
        <v>398</v>
      </c>
      <c r="C88" s="138">
        <v>0</v>
      </c>
      <c r="D88" s="139"/>
      <c r="E88" s="139"/>
      <c r="F88" s="139">
        <v>398</v>
      </c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39"/>
      <c r="AF88" s="139"/>
      <c r="AG88" s="139">
        <f t="shared" si="13"/>
        <v>398</v>
      </c>
      <c r="AH88" s="139">
        <f t="shared" si="16"/>
        <v>0</v>
      </c>
      <c r="AI88" s="112"/>
      <c r="AJ88" s="21"/>
    </row>
    <row r="89" spans="1:36" s="18" customFormat="1" ht="15.75">
      <c r="A89" s="143" t="s">
        <v>50</v>
      </c>
      <c r="B89" s="138">
        <f>13601.2+4158.2+817.2</f>
        <v>18576.600000000002</v>
      </c>
      <c r="C89" s="138">
        <v>828.5</v>
      </c>
      <c r="D89" s="139"/>
      <c r="E89" s="139"/>
      <c r="F89" s="139">
        <v>1551.1</v>
      </c>
      <c r="G89" s="139">
        <v>4423</v>
      </c>
      <c r="H89" s="139">
        <v>1571.7</v>
      </c>
      <c r="I89" s="139"/>
      <c r="J89" s="139"/>
      <c r="K89" s="139"/>
      <c r="L89" s="139">
        <v>1230.2</v>
      </c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>
        <f t="shared" si="13"/>
        <v>8776</v>
      </c>
      <c r="AH89" s="139">
        <f t="shared" si="16"/>
        <v>10629.100000000002</v>
      </c>
      <c r="AI89" s="112"/>
      <c r="AJ89" s="21"/>
    </row>
    <row r="90" spans="1:36" s="18" customFormat="1" ht="15.75">
      <c r="A90" s="143" t="s">
        <v>51</v>
      </c>
      <c r="B90" s="138">
        <v>5660.4</v>
      </c>
      <c r="C90" s="138">
        <v>0</v>
      </c>
      <c r="D90" s="139"/>
      <c r="E90" s="139"/>
      <c r="F90" s="139"/>
      <c r="G90" s="139"/>
      <c r="H90" s="139"/>
      <c r="I90" s="139"/>
      <c r="J90" s="139"/>
      <c r="K90" s="139">
        <v>1886.8</v>
      </c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>
        <f t="shared" si="13"/>
        <v>1886.8</v>
      </c>
      <c r="AH90" s="139">
        <f t="shared" si="16"/>
        <v>3773.5999999999995</v>
      </c>
      <c r="AI90" s="112"/>
      <c r="AJ90" s="21"/>
    </row>
    <row r="91" spans="1:36" s="18" customFormat="1" ht="15.75">
      <c r="A91" s="143" t="s">
        <v>25</v>
      </c>
      <c r="B91" s="138">
        <v>15</v>
      </c>
      <c r="C91" s="138">
        <v>65</v>
      </c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  <c r="Y91" s="139"/>
      <c r="Z91" s="139"/>
      <c r="AA91" s="139"/>
      <c r="AB91" s="139"/>
      <c r="AC91" s="139"/>
      <c r="AD91" s="139"/>
      <c r="AE91" s="139"/>
      <c r="AF91" s="139"/>
      <c r="AG91" s="139">
        <f t="shared" si="13"/>
        <v>0</v>
      </c>
      <c r="AH91" s="139">
        <f t="shared" si="16"/>
        <v>80</v>
      </c>
      <c r="AI91" s="112"/>
      <c r="AJ91" s="21"/>
    </row>
    <row r="92" spans="1:35" s="18" customFormat="1" ht="15.75">
      <c r="A92" s="143" t="s">
        <v>37</v>
      </c>
      <c r="B92" s="138">
        <f>33109.6+400+164.1-3215.3+0.1-117.2</f>
        <v>30341.299999999996</v>
      </c>
      <c r="C92" s="138">
        <v>0</v>
      </c>
      <c r="D92" s="139">
        <v>18523</v>
      </c>
      <c r="E92" s="139">
        <v>1876.7</v>
      </c>
      <c r="F92" s="139">
        <v>-4752.8</v>
      </c>
      <c r="G92" s="139">
        <v>-1622.1</v>
      </c>
      <c r="H92" s="139">
        <v>226.9</v>
      </c>
      <c r="I92" s="139">
        <v>16206.8</v>
      </c>
      <c r="J92" s="139"/>
      <c r="K92" s="139"/>
      <c r="L92" s="139"/>
      <c r="M92" s="139">
        <v>-8028.9</v>
      </c>
      <c r="N92" s="139">
        <v>5174.6</v>
      </c>
      <c r="O92" s="139">
        <v>2737.1</v>
      </c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39"/>
      <c r="AF92" s="139"/>
      <c r="AG92" s="139">
        <f t="shared" si="13"/>
        <v>30341.299999999996</v>
      </c>
      <c r="AH92" s="139">
        <f t="shared" si="16"/>
        <v>0</v>
      </c>
      <c r="AI92" s="115"/>
    </row>
    <row r="93" spans="1:34" s="18" customFormat="1" ht="15.75">
      <c r="A93" s="185"/>
      <c r="B93" s="138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39"/>
      <c r="Z93" s="139"/>
      <c r="AA93" s="139"/>
      <c r="AB93" s="139"/>
      <c r="AC93" s="139"/>
      <c r="AD93" s="139"/>
      <c r="AE93" s="139"/>
      <c r="AF93" s="139"/>
      <c r="AG93" s="139"/>
      <c r="AH93" s="139"/>
    </row>
    <row r="94" spans="1:34" s="134" customFormat="1" ht="15.75">
      <c r="A94" s="185" t="s">
        <v>27</v>
      </c>
      <c r="B94" s="186">
        <f aca="true" t="shared" si="17" ref="B94:Z94">B10+B15+B24+B33+B47+B52+B54+B61+B62+B69+B71+B72+B76+B81+B82+B83+B88+B89+B90+B91+B40+B92+B70</f>
        <v>189487</v>
      </c>
      <c r="C94" s="186">
        <f t="shared" si="17"/>
        <v>67226.46300000006</v>
      </c>
      <c r="D94" s="187">
        <f t="shared" si="17"/>
        <v>18523</v>
      </c>
      <c r="E94" s="187">
        <f t="shared" si="17"/>
        <v>7287.4</v>
      </c>
      <c r="F94" s="187">
        <f t="shared" si="17"/>
        <v>5701.399999999999</v>
      </c>
      <c r="G94" s="187">
        <f t="shared" si="17"/>
        <v>3391.4</v>
      </c>
      <c r="H94" s="187">
        <f>H10+H15+H24+H33+H47+H52+H54+H61+H62+H69+H71+H72+H76+H81+H82+H83+H88+H89+H90+H91+H40+H92+H70</f>
        <v>7572.599999999999</v>
      </c>
      <c r="I94" s="187">
        <f t="shared" si="17"/>
        <v>17610.3</v>
      </c>
      <c r="J94" s="187">
        <f t="shared" si="17"/>
        <v>1040.1999999999998</v>
      </c>
      <c r="K94" s="187">
        <f t="shared" si="17"/>
        <v>3916.2</v>
      </c>
      <c r="L94" s="187">
        <f t="shared" si="17"/>
        <v>20420.800000000003</v>
      </c>
      <c r="M94" s="187">
        <f t="shared" si="17"/>
        <v>6946.700000000001</v>
      </c>
      <c r="N94" s="187">
        <f t="shared" si="17"/>
        <v>6324.8</v>
      </c>
      <c r="O94" s="187">
        <f t="shared" si="17"/>
        <v>3510.2999999999997</v>
      </c>
      <c r="P94" s="187">
        <f t="shared" si="17"/>
        <v>0</v>
      </c>
      <c r="Q94" s="187">
        <f t="shared" si="17"/>
        <v>0</v>
      </c>
      <c r="R94" s="187">
        <f t="shared" si="17"/>
        <v>0</v>
      </c>
      <c r="S94" s="187">
        <f t="shared" si="17"/>
        <v>0</v>
      </c>
      <c r="T94" s="187">
        <f t="shared" si="17"/>
        <v>0</v>
      </c>
      <c r="U94" s="187">
        <f t="shared" si="17"/>
        <v>0</v>
      </c>
      <c r="V94" s="187">
        <f t="shared" si="17"/>
        <v>0</v>
      </c>
      <c r="W94" s="187">
        <f t="shared" si="17"/>
        <v>0</v>
      </c>
      <c r="X94" s="187">
        <f t="shared" si="17"/>
        <v>0</v>
      </c>
      <c r="Y94" s="187">
        <f t="shared" si="17"/>
        <v>0</v>
      </c>
      <c r="Z94" s="187">
        <f t="shared" si="17"/>
        <v>0</v>
      </c>
      <c r="AA94" s="187">
        <f>AA10+AA15+AA24+AA33+AA47+AA52+AA54+AA61+AA62+AA69+AA71+AA72+AA76+AA81+AA82+AA83+AA88+AA89+AA90+AA91+AA40</f>
        <v>0</v>
      </c>
      <c r="AB94" s="187">
        <f>AB10+AB15+AB24+AB33+AB47+AB52+AB54+AB61+AB62+AB69+AB71+AB72+AB76+AB81+AB82+AB83+AB88+AB89+AB90+AB91+AB40</f>
        <v>0</v>
      </c>
      <c r="AC94" s="187">
        <f>AC10+AC15+AC24+AC33+AC47+AC52+AC54+AC61+AC62+AC69+AC71+AC72+AC76+AC81+AC82+AC83+AC88+AC89+AC90+AC91+AC40</f>
        <v>0</v>
      </c>
      <c r="AD94" s="187">
        <f>AD10+AD15+AD24+AD33+AD47+AD52+AD54+AD61+AD62+AD69+AD71+AD72+AD76+AD81+AD82+AD83+AD88+AD89+AD90+AD91+AD40</f>
        <v>0</v>
      </c>
      <c r="AE94" s="187">
        <f>AE10+AE15+AE24+AE33+AE47+AE52+AE54+AE61+AE62+AE69+AE71+AE72+AE76+AE81+AE82+AE83+AE88+AE89+AE90+AE91+AE40</f>
        <v>0</v>
      </c>
      <c r="AF94" s="187"/>
      <c r="AG94" s="187">
        <f>AG10+AG15+AG24+AG33+AG47+AG52+AG54+AG61+AG62+AG69+AG71+AG72+AG76+AG81+AG82+AG83+AG88+AG89+AG90+AG91+AG70+AG40+AG92</f>
        <v>102245.1</v>
      </c>
      <c r="AH94" s="187">
        <f>AH10+AH15+AH24+AH33+AH47+AH52+AH54+AH61+AH62+AH69+AH71+AH72+AH76+AH81+AH82+AH83+AH88+AH89+AH90+AH91+AH70+AH40+AH92</f>
        <v>154468.36300000007</v>
      </c>
    </row>
    <row r="95" spans="1:34" s="18" customFormat="1" ht="15.75">
      <c r="A95" s="137" t="s">
        <v>5</v>
      </c>
      <c r="B95" s="138">
        <f aca="true" t="shared" si="18" ref="B95:AE95">B11+B17+B26+B34+B55+B63+B73+B41+B77+B48</f>
        <v>59569.49999999999</v>
      </c>
      <c r="C95" s="138">
        <f t="shared" si="18"/>
        <v>17228.559999999987</v>
      </c>
      <c r="D95" s="139">
        <f t="shared" si="18"/>
        <v>0</v>
      </c>
      <c r="E95" s="139">
        <f t="shared" si="18"/>
        <v>4609.6</v>
      </c>
      <c r="F95" s="139">
        <f t="shared" si="18"/>
        <v>2442.9000000000005</v>
      </c>
      <c r="G95" s="139">
        <f t="shared" si="18"/>
        <v>247.2</v>
      </c>
      <c r="H95" s="139">
        <f>H11+H17+H26+H34+H55+H63+H73+H41+H77+H48</f>
        <v>130.6</v>
      </c>
      <c r="I95" s="139">
        <f t="shared" si="18"/>
        <v>120.7</v>
      </c>
      <c r="J95" s="139">
        <f t="shared" si="18"/>
        <v>0</v>
      </c>
      <c r="K95" s="139">
        <f t="shared" si="18"/>
        <v>1903.6999999999998</v>
      </c>
      <c r="L95" s="139">
        <f t="shared" si="18"/>
        <v>8041.700000000001</v>
      </c>
      <c r="M95" s="139">
        <f t="shared" si="18"/>
        <v>9620.2</v>
      </c>
      <c r="N95" s="139">
        <f t="shared" si="18"/>
        <v>71.9</v>
      </c>
      <c r="O95" s="139">
        <f t="shared" si="18"/>
        <v>0</v>
      </c>
      <c r="P95" s="139">
        <f t="shared" si="18"/>
        <v>0</v>
      </c>
      <c r="Q95" s="139">
        <f t="shared" si="18"/>
        <v>0</v>
      </c>
      <c r="R95" s="139">
        <f t="shared" si="18"/>
        <v>0</v>
      </c>
      <c r="S95" s="139">
        <f t="shared" si="18"/>
        <v>0</v>
      </c>
      <c r="T95" s="139">
        <f t="shared" si="18"/>
        <v>0</v>
      </c>
      <c r="U95" s="139">
        <f t="shared" si="18"/>
        <v>0</v>
      </c>
      <c r="V95" s="139">
        <f t="shared" si="18"/>
        <v>0</v>
      </c>
      <c r="W95" s="139">
        <f>W11+W17+W26+W34+W55+W63+W73+W41+W77+W48</f>
        <v>0</v>
      </c>
      <c r="X95" s="139">
        <f t="shared" si="18"/>
        <v>0</v>
      </c>
      <c r="Y95" s="139">
        <f t="shared" si="18"/>
        <v>0</v>
      </c>
      <c r="Z95" s="139">
        <f t="shared" si="18"/>
        <v>0</v>
      </c>
      <c r="AA95" s="139">
        <f t="shared" si="18"/>
        <v>0</v>
      </c>
      <c r="AB95" s="139">
        <f t="shared" si="18"/>
        <v>0</v>
      </c>
      <c r="AC95" s="139">
        <f t="shared" si="18"/>
        <v>0</v>
      </c>
      <c r="AD95" s="139">
        <f t="shared" si="18"/>
        <v>0</v>
      </c>
      <c r="AE95" s="139">
        <f t="shared" si="18"/>
        <v>0</v>
      </c>
      <c r="AF95" s="139"/>
      <c r="AG95" s="139">
        <f>SUM(D95:AE95)</f>
        <v>27188.500000000004</v>
      </c>
      <c r="AH95" s="139">
        <f>B95+C95-AG95</f>
        <v>49609.55999999998</v>
      </c>
    </row>
    <row r="96" spans="1:34" s="18" customFormat="1" ht="15.75">
      <c r="A96" s="137" t="s">
        <v>2</v>
      </c>
      <c r="B96" s="138">
        <f aca="true" t="shared" si="19" ref="B96:AE96">B12+B20+B29+B36+B57+B66+B44+B80+B74+B53</f>
        <v>3273.7</v>
      </c>
      <c r="C96" s="138">
        <f t="shared" si="19"/>
        <v>8923.899999999998</v>
      </c>
      <c r="D96" s="139">
        <f t="shared" si="19"/>
        <v>0</v>
      </c>
      <c r="E96" s="139">
        <f t="shared" si="19"/>
        <v>83.7</v>
      </c>
      <c r="F96" s="139">
        <f t="shared" si="19"/>
        <v>878.6</v>
      </c>
      <c r="G96" s="139">
        <f t="shared" si="19"/>
        <v>99.39999999999999</v>
      </c>
      <c r="H96" s="139">
        <f>H12+H20+H29+H36+H57+H66+H44+H80+H74+H53</f>
        <v>220.5</v>
      </c>
      <c r="I96" s="139">
        <f t="shared" si="19"/>
        <v>573</v>
      </c>
      <c r="J96" s="139">
        <f t="shared" si="19"/>
        <v>422.09999999999997</v>
      </c>
      <c r="K96" s="139">
        <f t="shared" si="19"/>
        <v>1.9</v>
      </c>
      <c r="L96" s="139">
        <f t="shared" si="19"/>
        <v>9.9</v>
      </c>
      <c r="M96" s="139">
        <f t="shared" si="19"/>
        <v>91.4</v>
      </c>
      <c r="N96" s="139">
        <f t="shared" si="19"/>
        <v>19.6</v>
      </c>
      <c r="O96" s="139">
        <f t="shared" si="19"/>
        <v>8.4</v>
      </c>
      <c r="P96" s="139">
        <f t="shared" si="19"/>
        <v>0</v>
      </c>
      <c r="Q96" s="139">
        <f t="shared" si="19"/>
        <v>0</v>
      </c>
      <c r="R96" s="139">
        <f t="shared" si="19"/>
        <v>0</v>
      </c>
      <c r="S96" s="139">
        <f t="shared" si="19"/>
        <v>0</v>
      </c>
      <c r="T96" s="139">
        <f t="shared" si="19"/>
        <v>0</v>
      </c>
      <c r="U96" s="139">
        <f t="shared" si="19"/>
        <v>0</v>
      </c>
      <c r="V96" s="139">
        <f t="shared" si="19"/>
        <v>0</v>
      </c>
      <c r="W96" s="139">
        <f t="shared" si="19"/>
        <v>0</v>
      </c>
      <c r="X96" s="139">
        <f t="shared" si="19"/>
        <v>0</v>
      </c>
      <c r="Y96" s="139">
        <f t="shared" si="19"/>
        <v>0</v>
      </c>
      <c r="Z96" s="139">
        <f t="shared" si="19"/>
        <v>0</v>
      </c>
      <c r="AA96" s="139">
        <f t="shared" si="19"/>
        <v>0</v>
      </c>
      <c r="AB96" s="139">
        <f t="shared" si="19"/>
        <v>0</v>
      </c>
      <c r="AC96" s="139">
        <f t="shared" si="19"/>
        <v>0</v>
      </c>
      <c r="AD96" s="139">
        <f t="shared" si="19"/>
        <v>0</v>
      </c>
      <c r="AE96" s="139">
        <f t="shared" si="19"/>
        <v>0</v>
      </c>
      <c r="AF96" s="139"/>
      <c r="AG96" s="139">
        <f>SUM(D96:AE96)</f>
        <v>2408.5000000000005</v>
      </c>
      <c r="AH96" s="139">
        <f>B96+C96-AG96</f>
        <v>9789.099999999999</v>
      </c>
    </row>
    <row r="97" spans="1:34" s="18" customFormat="1" ht="15.75">
      <c r="A97" s="137" t="s">
        <v>3</v>
      </c>
      <c r="B97" s="138">
        <f aca="true" t="shared" si="20" ref="B97:AB97">B18+B27+B42+B64+B78</f>
        <v>0</v>
      </c>
      <c r="C97" s="138">
        <f t="shared" si="20"/>
        <v>15.500000000000002</v>
      </c>
      <c r="D97" s="139">
        <f t="shared" si="20"/>
        <v>0</v>
      </c>
      <c r="E97" s="139">
        <f t="shared" si="20"/>
        <v>0</v>
      </c>
      <c r="F97" s="139">
        <f t="shared" si="20"/>
        <v>0.9</v>
      </c>
      <c r="G97" s="139">
        <f t="shared" si="20"/>
        <v>0</v>
      </c>
      <c r="H97" s="139">
        <f>H18+H27+H42+H64+H78</f>
        <v>0</v>
      </c>
      <c r="I97" s="139">
        <f t="shared" si="20"/>
        <v>0</v>
      </c>
      <c r="J97" s="139">
        <f t="shared" si="20"/>
        <v>0.5</v>
      </c>
      <c r="K97" s="139">
        <f t="shared" si="20"/>
        <v>0</v>
      </c>
      <c r="L97" s="139">
        <f t="shared" si="20"/>
        <v>0</v>
      </c>
      <c r="M97" s="139">
        <f t="shared" si="20"/>
        <v>0</v>
      </c>
      <c r="N97" s="139">
        <f t="shared" si="20"/>
        <v>0</v>
      </c>
      <c r="O97" s="139">
        <f t="shared" si="20"/>
        <v>0</v>
      </c>
      <c r="P97" s="139">
        <f t="shared" si="20"/>
        <v>0</v>
      </c>
      <c r="Q97" s="139">
        <f t="shared" si="20"/>
        <v>0</v>
      </c>
      <c r="R97" s="139">
        <f t="shared" si="20"/>
        <v>0</v>
      </c>
      <c r="S97" s="139">
        <f t="shared" si="20"/>
        <v>0</v>
      </c>
      <c r="T97" s="139">
        <f t="shared" si="20"/>
        <v>0</v>
      </c>
      <c r="U97" s="139">
        <f t="shared" si="20"/>
        <v>0</v>
      </c>
      <c r="V97" s="139">
        <f t="shared" si="20"/>
        <v>0</v>
      </c>
      <c r="W97" s="139">
        <f t="shared" si="20"/>
        <v>0</v>
      </c>
      <c r="X97" s="139">
        <f t="shared" si="20"/>
        <v>0</v>
      </c>
      <c r="Y97" s="139">
        <f t="shared" si="20"/>
        <v>0</v>
      </c>
      <c r="Z97" s="139">
        <f t="shared" si="20"/>
        <v>0</v>
      </c>
      <c r="AA97" s="139">
        <f t="shared" si="20"/>
        <v>0</v>
      </c>
      <c r="AB97" s="139">
        <f t="shared" si="20"/>
        <v>0</v>
      </c>
      <c r="AC97" s="139">
        <f>AC18+AC27+AC42+AC64</f>
        <v>0</v>
      </c>
      <c r="AD97" s="139">
        <f>AD18+AD27+AD42+AD64</f>
        <v>0</v>
      </c>
      <c r="AE97" s="139">
        <f>AE18+AE27+AE42+AE64</f>
        <v>0</v>
      </c>
      <c r="AF97" s="139"/>
      <c r="AG97" s="139">
        <f>SUM(D97:AE97)</f>
        <v>1.4</v>
      </c>
      <c r="AH97" s="139">
        <f>B97+C97-AG97</f>
        <v>14.100000000000001</v>
      </c>
    </row>
    <row r="98" spans="1:34" s="18" customFormat="1" ht="15.75">
      <c r="A98" s="137" t="s">
        <v>1</v>
      </c>
      <c r="B98" s="138">
        <f aca="true" t="shared" si="21" ref="B98:AE98">B19+B28+B65+B35+B43+B56+B79</f>
        <v>987.1999999999999</v>
      </c>
      <c r="C98" s="138">
        <f t="shared" si="21"/>
        <v>2604.999999999998</v>
      </c>
      <c r="D98" s="139">
        <f t="shared" si="21"/>
        <v>0</v>
      </c>
      <c r="E98" s="139">
        <f t="shared" si="21"/>
        <v>0</v>
      </c>
      <c r="F98" s="139">
        <f t="shared" si="21"/>
        <v>0.2</v>
      </c>
      <c r="G98" s="139">
        <f t="shared" si="21"/>
        <v>0</v>
      </c>
      <c r="H98" s="139">
        <f>H19+H28+H65+H35+H43+H56+H79</f>
        <v>107.19999999999999</v>
      </c>
      <c r="I98" s="139">
        <f t="shared" si="21"/>
        <v>0</v>
      </c>
      <c r="J98" s="139">
        <f t="shared" si="21"/>
        <v>0</v>
      </c>
      <c r="K98" s="139">
        <f t="shared" si="21"/>
        <v>0</v>
      </c>
      <c r="L98" s="139">
        <f t="shared" si="21"/>
        <v>8.1</v>
      </c>
      <c r="M98" s="139">
        <f t="shared" si="21"/>
        <v>10</v>
      </c>
      <c r="N98" s="139">
        <f t="shared" si="21"/>
        <v>147.3</v>
      </c>
      <c r="O98" s="139">
        <f t="shared" si="21"/>
        <v>70.5</v>
      </c>
      <c r="P98" s="139">
        <f t="shared" si="21"/>
        <v>0</v>
      </c>
      <c r="Q98" s="139">
        <f t="shared" si="21"/>
        <v>0</v>
      </c>
      <c r="R98" s="139">
        <f t="shared" si="21"/>
        <v>0</v>
      </c>
      <c r="S98" s="139">
        <f t="shared" si="21"/>
        <v>0</v>
      </c>
      <c r="T98" s="139">
        <f t="shared" si="21"/>
        <v>0</v>
      </c>
      <c r="U98" s="139">
        <f t="shared" si="21"/>
        <v>0</v>
      </c>
      <c r="V98" s="139">
        <f t="shared" si="21"/>
        <v>0</v>
      </c>
      <c r="W98" s="139">
        <f t="shared" si="21"/>
        <v>0</v>
      </c>
      <c r="X98" s="139">
        <f t="shared" si="21"/>
        <v>0</v>
      </c>
      <c r="Y98" s="139">
        <f t="shared" si="21"/>
        <v>0</v>
      </c>
      <c r="Z98" s="139">
        <f t="shared" si="21"/>
        <v>0</v>
      </c>
      <c r="AA98" s="139">
        <f t="shared" si="21"/>
        <v>0</v>
      </c>
      <c r="AB98" s="139">
        <f t="shared" si="21"/>
        <v>0</v>
      </c>
      <c r="AC98" s="139">
        <f t="shared" si="21"/>
        <v>0</v>
      </c>
      <c r="AD98" s="139">
        <f t="shared" si="21"/>
        <v>0</v>
      </c>
      <c r="AE98" s="139">
        <f t="shared" si="21"/>
        <v>0</v>
      </c>
      <c r="AF98" s="139"/>
      <c r="AG98" s="139">
        <f>SUM(D98:AE98)</f>
        <v>343.3</v>
      </c>
      <c r="AH98" s="139">
        <f>B98+C98-AG98</f>
        <v>3248.899999999998</v>
      </c>
    </row>
    <row r="99" spans="1:34" s="18" customFormat="1" ht="15.75">
      <c r="A99" s="137" t="s">
        <v>16</v>
      </c>
      <c r="B99" s="138">
        <f>B21+B30+B49+B37+B58+B13+B75+B67</f>
        <v>10255.400000000001</v>
      </c>
      <c r="C99" s="138">
        <f aca="true" t="shared" si="22" ref="C99:Y99">C21+C30+C49+C37+C58+C13+C75+C67</f>
        <v>4246.900000000003</v>
      </c>
      <c r="D99" s="139">
        <f t="shared" si="22"/>
        <v>0</v>
      </c>
      <c r="E99" s="139">
        <f t="shared" si="22"/>
        <v>0</v>
      </c>
      <c r="F99" s="139">
        <f t="shared" si="22"/>
        <v>1559.4</v>
      </c>
      <c r="G99" s="139">
        <f t="shared" si="22"/>
        <v>0</v>
      </c>
      <c r="H99" s="139">
        <f>H21+H30+H49+H37+H58+H13+H75+H67</f>
        <v>659.2</v>
      </c>
      <c r="I99" s="139">
        <f t="shared" si="22"/>
        <v>272</v>
      </c>
      <c r="J99" s="139">
        <f t="shared" si="22"/>
        <v>453.4</v>
      </c>
      <c r="K99" s="139">
        <f t="shared" si="22"/>
        <v>2.8</v>
      </c>
      <c r="L99" s="139">
        <f t="shared" si="22"/>
        <v>877.4</v>
      </c>
      <c r="M99" s="139">
        <f t="shared" si="22"/>
        <v>151</v>
      </c>
      <c r="N99" s="139">
        <f t="shared" si="22"/>
        <v>20.4</v>
      </c>
      <c r="O99" s="139">
        <f t="shared" si="22"/>
        <v>193</v>
      </c>
      <c r="P99" s="139">
        <f t="shared" si="22"/>
        <v>0</v>
      </c>
      <c r="Q99" s="139">
        <f t="shared" si="22"/>
        <v>0</v>
      </c>
      <c r="R99" s="139">
        <f t="shared" si="22"/>
        <v>0</v>
      </c>
      <c r="S99" s="139">
        <f t="shared" si="22"/>
        <v>0</v>
      </c>
      <c r="T99" s="139">
        <f t="shared" si="22"/>
        <v>0</v>
      </c>
      <c r="U99" s="139">
        <f t="shared" si="22"/>
        <v>0</v>
      </c>
      <c r="V99" s="139">
        <f t="shared" si="22"/>
        <v>0</v>
      </c>
      <c r="W99" s="139">
        <f t="shared" si="22"/>
        <v>0</v>
      </c>
      <c r="X99" s="139">
        <f t="shared" si="22"/>
        <v>0</v>
      </c>
      <c r="Y99" s="139">
        <f t="shared" si="22"/>
        <v>0</v>
      </c>
      <c r="Z99" s="139">
        <f aca="true" t="shared" si="23" ref="Z99:AE99">Z21+Z30+Z49+Z37+Z58+Z13+Z75</f>
        <v>0</v>
      </c>
      <c r="AA99" s="139">
        <f t="shared" si="23"/>
        <v>0</v>
      </c>
      <c r="AB99" s="139">
        <f t="shared" si="23"/>
        <v>0</v>
      </c>
      <c r="AC99" s="139">
        <f t="shared" si="23"/>
        <v>0</v>
      </c>
      <c r="AD99" s="139">
        <f t="shared" si="23"/>
        <v>0</v>
      </c>
      <c r="AE99" s="139">
        <f t="shared" si="23"/>
        <v>0</v>
      </c>
      <c r="AF99" s="139"/>
      <c r="AG99" s="139">
        <f>SUM(D99:AE99)</f>
        <v>4188.6</v>
      </c>
      <c r="AH99" s="139">
        <f>B99+C99-AG99</f>
        <v>10313.700000000004</v>
      </c>
    </row>
    <row r="100" spans="1:34" ht="12.75">
      <c r="A100" s="188" t="s">
        <v>35</v>
      </c>
      <c r="B100" s="189">
        <f>B94-B95-B96-B97-B98-B99</f>
        <v>115401.20000000001</v>
      </c>
      <c r="C100" s="189">
        <f aca="true" t="shared" si="24" ref="C100:AE100">C94-C95-C96-C97-C98-C99</f>
        <v>34206.60300000008</v>
      </c>
      <c r="D100" s="190">
        <f t="shared" si="24"/>
        <v>18523</v>
      </c>
      <c r="E100" s="190">
        <f t="shared" si="24"/>
        <v>2594.0999999999995</v>
      </c>
      <c r="F100" s="190">
        <f t="shared" si="24"/>
        <v>819.3999999999983</v>
      </c>
      <c r="G100" s="190">
        <f t="shared" si="24"/>
        <v>3044.8</v>
      </c>
      <c r="H100" s="190">
        <f>H94-H95-H96-H97-H98-H99</f>
        <v>6455.099999999999</v>
      </c>
      <c r="I100" s="190">
        <f t="shared" si="24"/>
        <v>16644.6</v>
      </c>
      <c r="J100" s="190">
        <f t="shared" si="24"/>
        <v>164.19999999999993</v>
      </c>
      <c r="K100" s="190">
        <f t="shared" si="24"/>
        <v>2007.8</v>
      </c>
      <c r="L100" s="190">
        <f t="shared" si="24"/>
        <v>11483.700000000003</v>
      </c>
      <c r="M100" s="190">
        <f t="shared" si="24"/>
        <v>-2925.9</v>
      </c>
      <c r="N100" s="190">
        <f t="shared" si="24"/>
        <v>6065.6</v>
      </c>
      <c r="O100" s="190">
        <f t="shared" si="24"/>
        <v>3238.3999999999996</v>
      </c>
      <c r="P100" s="190">
        <f t="shared" si="24"/>
        <v>0</v>
      </c>
      <c r="Q100" s="190">
        <f t="shared" si="24"/>
        <v>0</v>
      </c>
      <c r="R100" s="190">
        <f t="shared" si="24"/>
        <v>0</v>
      </c>
      <c r="S100" s="190">
        <f t="shared" si="24"/>
        <v>0</v>
      </c>
      <c r="T100" s="190">
        <f t="shared" si="24"/>
        <v>0</v>
      </c>
      <c r="U100" s="190">
        <f t="shared" si="24"/>
        <v>0</v>
      </c>
      <c r="V100" s="190">
        <f t="shared" si="24"/>
        <v>0</v>
      </c>
      <c r="W100" s="190">
        <f t="shared" si="24"/>
        <v>0</v>
      </c>
      <c r="X100" s="190">
        <f t="shared" si="24"/>
        <v>0</v>
      </c>
      <c r="Y100" s="190">
        <f t="shared" si="24"/>
        <v>0</v>
      </c>
      <c r="Z100" s="190">
        <f t="shared" si="24"/>
        <v>0</v>
      </c>
      <c r="AA100" s="190">
        <f t="shared" si="24"/>
        <v>0</v>
      </c>
      <c r="AB100" s="190">
        <f t="shared" si="24"/>
        <v>0</v>
      </c>
      <c r="AC100" s="190">
        <f t="shared" si="24"/>
        <v>0</v>
      </c>
      <c r="AD100" s="190">
        <f t="shared" si="24"/>
        <v>0</v>
      </c>
      <c r="AE100" s="190">
        <f t="shared" si="24"/>
        <v>0</v>
      </c>
      <c r="AF100" s="190"/>
      <c r="AG100" s="190">
        <f>AG94-AG95-AG96-AG97-AG98-AG99</f>
        <v>68114.8</v>
      </c>
      <c r="AH100" s="190">
        <f>AH94-AH95-AH96-AH97-AH98-AH99</f>
        <v>81493.00300000008</v>
      </c>
    </row>
    <row r="101" spans="1:34" s="32" customFormat="1" ht="15.75">
      <c r="A101" s="30"/>
      <c r="B101" s="31"/>
      <c r="C101" s="31"/>
      <c r="N101" s="93"/>
      <c r="AC101" s="31"/>
      <c r="AD101" s="31"/>
      <c r="AE101" s="31"/>
      <c r="AF101" s="31"/>
      <c r="AG101" s="31"/>
      <c r="AH101" s="31"/>
    </row>
    <row r="102" spans="1:34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9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16"/>
      <c r="AB102" s="16"/>
      <c r="AC102" s="16"/>
      <c r="AD102" s="16">
        <f>AD9-AD16-AD25</f>
        <v>0</v>
      </c>
      <c r="AE102" s="16">
        <f>AE9-AE16-AE25</f>
        <v>0</v>
      </c>
      <c r="AF102" s="16"/>
      <c r="AG102" s="16"/>
      <c r="AH102" s="16"/>
    </row>
    <row r="103" spans="1:34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95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3"/>
      <c r="AD103" s="43"/>
      <c r="AE103" s="43"/>
      <c r="AF103" s="43"/>
      <c r="AG103" s="43"/>
      <c r="AH103" s="43"/>
    </row>
    <row r="104" spans="1:34" ht="12.7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0"/>
      <c r="L104" s="2"/>
      <c r="M104" s="2"/>
      <c r="N104" s="20"/>
      <c r="O104" s="2"/>
      <c r="P104" s="2"/>
      <c r="Q104" s="2"/>
      <c r="R104" s="2"/>
      <c r="S104" s="2"/>
      <c r="T104" s="20"/>
      <c r="U104" s="20"/>
      <c r="V104" s="2"/>
      <c r="W104" s="2"/>
      <c r="X104" s="2"/>
      <c r="Y104" s="20"/>
      <c r="Z104" s="20"/>
      <c r="AA104" s="20"/>
      <c r="AB104" s="20"/>
      <c r="AC104" s="2"/>
      <c r="AD104" s="2"/>
      <c r="AE104" s="2"/>
      <c r="AF104" s="2"/>
      <c r="AG104" s="2"/>
      <c r="AH104" s="2"/>
    </row>
    <row r="105" spans="1:34" ht="12.7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0"/>
      <c r="L105" s="2"/>
      <c r="M105" s="2"/>
      <c r="N105" s="20"/>
      <c r="O105" s="2"/>
      <c r="P105" s="2"/>
      <c r="Q105" s="2"/>
      <c r="R105" s="2"/>
      <c r="S105" s="2"/>
      <c r="T105" s="20"/>
      <c r="U105" s="20"/>
      <c r="V105" s="2"/>
      <c r="W105" s="2"/>
      <c r="X105" s="2"/>
      <c r="Y105" s="20"/>
      <c r="Z105" s="20"/>
      <c r="AA105" s="20"/>
      <c r="AB105" s="20"/>
      <c r="AC105" s="2"/>
      <c r="AD105" s="2"/>
      <c r="AE105" s="2"/>
      <c r="AF105" s="2"/>
      <c r="AG105" s="2"/>
      <c r="AH105" s="2"/>
    </row>
    <row r="106" spans="2:34" ht="12.75">
      <c r="B106" s="6"/>
      <c r="C106" s="6"/>
      <c r="D106" s="6"/>
      <c r="E106" s="6"/>
      <c r="F106" s="6"/>
      <c r="G106" s="6"/>
      <c r="H106" s="6"/>
      <c r="I106" s="6"/>
      <c r="J106" s="6"/>
      <c r="K106" s="21"/>
      <c r="L106" s="6"/>
      <c r="M106" s="6"/>
      <c r="N106" s="21"/>
      <c r="O106" s="6"/>
      <c r="P106" s="6"/>
      <c r="Q106" s="6"/>
      <c r="R106" s="6"/>
      <c r="S106" s="6"/>
      <c r="T106" s="21"/>
      <c r="U106" s="21"/>
      <c r="V106" s="6"/>
      <c r="W106" s="6"/>
      <c r="X106" s="6"/>
      <c r="Y106" s="21"/>
      <c r="Z106" s="21"/>
      <c r="AA106" s="21"/>
      <c r="AB106" s="21"/>
      <c r="AC106" s="6"/>
      <c r="AD106" s="6"/>
      <c r="AE106" s="6"/>
      <c r="AF106" s="6"/>
      <c r="AG106" s="6"/>
      <c r="AH106" s="6"/>
    </row>
    <row r="107" spans="2:34" ht="12.75">
      <c r="B107" s="6"/>
      <c r="C107" s="6"/>
      <c r="D107" s="6"/>
      <c r="E107" s="6"/>
      <c r="F107" s="6"/>
      <c r="G107" s="6"/>
      <c r="H107" s="6"/>
      <c r="I107" s="6"/>
      <c r="J107" s="6"/>
      <c r="K107" s="21"/>
      <c r="L107" s="6"/>
      <c r="M107" s="6"/>
      <c r="N107" s="21"/>
      <c r="O107" s="6"/>
      <c r="P107" s="6"/>
      <c r="Q107" s="6"/>
      <c r="R107" s="6"/>
      <c r="S107" s="6"/>
      <c r="T107" s="21"/>
      <c r="U107" s="21"/>
      <c r="V107" s="6"/>
      <c r="W107" s="6"/>
      <c r="X107" s="6"/>
      <c r="Y107" s="21"/>
      <c r="Z107" s="21"/>
      <c r="AA107" s="21"/>
      <c r="AB107" s="21"/>
      <c r="AC107" s="6"/>
      <c r="AD107" s="6"/>
      <c r="AE107" s="6"/>
      <c r="AF107" s="6"/>
      <c r="AG107" s="6"/>
      <c r="AH107" s="6"/>
    </row>
    <row r="108" spans="2:34" ht="12.75">
      <c r="B108" s="6"/>
      <c r="C108" s="6"/>
      <c r="D108" s="6"/>
      <c r="E108" s="6"/>
      <c r="F108" s="6"/>
      <c r="G108" s="6"/>
      <c r="H108" s="6"/>
      <c r="I108" s="6"/>
      <c r="J108" s="6"/>
      <c r="K108" s="21"/>
      <c r="L108" s="6"/>
      <c r="M108" s="6"/>
      <c r="N108" s="21"/>
      <c r="O108" s="6"/>
      <c r="P108" s="6"/>
      <c r="Q108" s="6"/>
      <c r="R108" s="6"/>
      <c r="S108" s="6"/>
      <c r="T108" s="21"/>
      <c r="U108" s="21"/>
      <c r="V108" s="6"/>
      <c r="W108" s="6"/>
      <c r="X108" s="6"/>
      <c r="Y108" s="21"/>
      <c r="Z108" s="21"/>
      <c r="AA108" s="21"/>
      <c r="AB108" s="21"/>
      <c r="AC108" s="6"/>
      <c r="AD108" s="6"/>
      <c r="AE108" s="6"/>
      <c r="AF108" s="6"/>
      <c r="AG108" s="6"/>
      <c r="AH108" s="6"/>
    </row>
    <row r="109" spans="2:34" ht="12.75">
      <c r="B109" s="6"/>
      <c r="C109" s="6"/>
      <c r="D109" s="6"/>
      <c r="E109" s="6"/>
      <c r="F109" s="6"/>
      <c r="G109" s="6"/>
      <c r="H109" s="6"/>
      <c r="I109" s="6"/>
      <c r="J109" s="6"/>
      <c r="K109" s="21"/>
      <c r="L109" s="6"/>
      <c r="M109" s="6"/>
      <c r="N109" s="21"/>
      <c r="O109" s="6"/>
      <c r="P109" s="6"/>
      <c r="Q109" s="6"/>
      <c r="R109" s="6"/>
      <c r="S109" s="6"/>
      <c r="T109" s="21"/>
      <c r="U109" s="21"/>
      <c r="V109" s="6"/>
      <c r="W109" s="6"/>
      <c r="X109" s="6"/>
      <c r="Y109" s="21"/>
      <c r="Z109" s="21"/>
      <c r="AA109" s="21"/>
      <c r="AB109" s="21"/>
      <c r="AC109" s="6"/>
      <c r="AD109" s="6"/>
      <c r="AE109" s="6"/>
      <c r="AF109" s="6"/>
      <c r="AG109" s="6"/>
      <c r="AH109" s="6"/>
    </row>
    <row r="110" spans="2:34" ht="12.75">
      <c r="B110" s="6"/>
      <c r="C110" s="6"/>
      <c r="D110" s="6"/>
      <c r="E110" s="6"/>
      <c r="F110" s="6"/>
      <c r="G110" s="6"/>
      <c r="H110" s="6"/>
      <c r="I110" s="6"/>
      <c r="J110" s="6"/>
      <c r="K110" s="21"/>
      <c r="L110" s="6"/>
      <c r="M110" s="6"/>
      <c r="N110" s="21"/>
      <c r="O110" s="6"/>
      <c r="P110" s="6"/>
      <c r="Q110" s="6"/>
      <c r="R110" s="6"/>
      <c r="S110" s="6"/>
      <c r="T110" s="21"/>
      <c r="U110" s="21"/>
      <c r="V110" s="6"/>
      <c r="W110" s="6"/>
      <c r="X110" s="6"/>
      <c r="Y110" s="21"/>
      <c r="Z110" s="21"/>
      <c r="AA110" s="21"/>
      <c r="AB110" s="21"/>
      <c r="AC110" s="6"/>
      <c r="AD110" s="6"/>
      <c r="AE110" s="6"/>
      <c r="AF110" s="6"/>
      <c r="AG110" s="6"/>
      <c r="AH110" s="6"/>
    </row>
    <row r="111" spans="2:34" ht="12.75">
      <c r="B111" s="6"/>
      <c r="C111" s="6"/>
      <c r="D111" s="6"/>
      <c r="E111" s="6"/>
      <c r="F111" s="6"/>
      <c r="G111" s="6"/>
      <c r="H111" s="6"/>
      <c r="I111" s="6"/>
      <c r="J111" s="6"/>
      <c r="K111" s="21"/>
      <c r="L111" s="6"/>
      <c r="M111" s="6"/>
      <c r="N111" s="21"/>
      <c r="O111" s="6"/>
      <c r="P111" s="6"/>
      <c r="Q111" s="6"/>
      <c r="R111" s="6"/>
      <c r="S111" s="6"/>
      <c r="T111" s="21"/>
      <c r="U111" s="21"/>
      <c r="V111" s="6"/>
      <c r="W111" s="6"/>
      <c r="X111" s="6"/>
      <c r="Y111" s="21"/>
      <c r="Z111" s="21"/>
      <c r="AA111" s="21"/>
      <c r="AB111" s="21"/>
      <c r="AC111" s="6"/>
      <c r="AD111" s="6"/>
      <c r="AE111" s="6"/>
      <c r="AF111" s="6"/>
      <c r="AG111" s="6"/>
      <c r="AH111" s="6"/>
    </row>
    <row r="112" spans="2:34" ht="12.75">
      <c r="B112" s="6"/>
      <c r="C112" s="6"/>
      <c r="D112" s="6"/>
      <c r="E112" s="6"/>
      <c r="F112" s="6"/>
      <c r="G112" s="6"/>
      <c r="H112" s="6"/>
      <c r="I112" s="6"/>
      <c r="J112" s="6"/>
      <c r="K112" s="21"/>
      <c r="L112" s="6"/>
      <c r="M112" s="6"/>
      <c r="N112" s="21"/>
      <c r="O112" s="6"/>
      <c r="P112" s="6"/>
      <c r="Q112" s="6"/>
      <c r="R112" s="6"/>
      <c r="S112" s="6"/>
      <c r="T112" s="21"/>
      <c r="U112" s="21"/>
      <c r="V112" s="6"/>
      <c r="W112" s="6"/>
      <c r="X112" s="6"/>
      <c r="Y112" s="21"/>
      <c r="Z112" s="21"/>
      <c r="AA112" s="21"/>
      <c r="AB112" s="21"/>
      <c r="AC112" s="6"/>
      <c r="AD112" s="6"/>
      <c r="AE112" s="6"/>
      <c r="AF112" s="6"/>
      <c r="AG112" s="6"/>
      <c r="AH112" s="6"/>
    </row>
    <row r="113" spans="2:34" ht="12.75">
      <c r="B113" s="6"/>
      <c r="C113" s="6"/>
      <c r="D113" s="6"/>
      <c r="E113" s="6"/>
      <c r="F113" s="6"/>
      <c r="G113" s="6"/>
      <c r="H113" s="6"/>
      <c r="I113" s="6"/>
      <c r="J113" s="6"/>
      <c r="K113" s="21"/>
      <c r="L113" s="6"/>
      <c r="M113" s="6"/>
      <c r="N113" s="21"/>
      <c r="O113" s="6"/>
      <c r="P113" s="6"/>
      <c r="Q113" s="6"/>
      <c r="R113" s="6"/>
      <c r="S113" s="6"/>
      <c r="T113" s="21"/>
      <c r="U113" s="21"/>
      <c r="V113" s="6"/>
      <c r="W113" s="6"/>
      <c r="X113" s="6"/>
      <c r="Y113" s="21"/>
      <c r="Z113" s="21"/>
      <c r="AA113" s="21"/>
      <c r="AB113" s="21"/>
      <c r="AC113" s="6"/>
      <c r="AD113" s="6"/>
      <c r="AE113" s="6"/>
      <c r="AF113" s="6"/>
      <c r="AG113" s="6"/>
      <c r="AH113" s="6"/>
    </row>
    <row r="114" spans="2:34" ht="12.75">
      <c r="B114" s="6"/>
      <c r="C114" s="6"/>
      <c r="D114" s="6"/>
      <c r="E114" s="6"/>
      <c r="F114" s="6"/>
      <c r="G114" s="6"/>
      <c r="H114" s="6"/>
      <c r="I114" s="6"/>
      <c r="J114" s="6"/>
      <c r="K114" s="21"/>
      <c r="L114" s="6"/>
      <c r="M114" s="6"/>
      <c r="N114" s="21"/>
      <c r="O114" s="6"/>
      <c r="P114" s="6"/>
      <c r="Q114" s="6"/>
      <c r="R114" s="6"/>
      <c r="S114" s="6"/>
      <c r="T114" s="21"/>
      <c r="U114" s="21"/>
      <c r="V114" s="6"/>
      <c r="W114" s="6"/>
      <c r="X114" s="6"/>
      <c r="Y114" s="21"/>
      <c r="Z114" s="21"/>
      <c r="AA114" s="21"/>
      <c r="AB114" s="21"/>
      <c r="AC114" s="6"/>
      <c r="AD114" s="6"/>
      <c r="AE114" s="6"/>
      <c r="AF114" s="6"/>
      <c r="AG114" s="6"/>
      <c r="AH114" s="6"/>
    </row>
    <row r="115" spans="2:34" ht="12.75">
      <c r="B115" s="6"/>
      <c r="C115" s="6"/>
      <c r="D115" s="6"/>
      <c r="E115" s="6"/>
      <c r="F115" s="6"/>
      <c r="G115" s="6"/>
      <c r="H115" s="6"/>
      <c r="I115" s="6"/>
      <c r="J115" s="6"/>
      <c r="K115" s="21"/>
      <c r="L115" s="6"/>
      <c r="M115" s="6"/>
      <c r="N115" s="21"/>
      <c r="O115" s="6"/>
      <c r="P115" s="6"/>
      <c r="Q115" s="6"/>
      <c r="R115" s="6"/>
      <c r="S115" s="6"/>
      <c r="T115" s="21"/>
      <c r="U115" s="21"/>
      <c r="V115" s="6"/>
      <c r="W115" s="6"/>
      <c r="X115" s="6"/>
      <c r="Y115" s="21"/>
      <c r="Z115" s="21"/>
      <c r="AA115" s="21"/>
      <c r="AB115" s="21"/>
      <c r="AC115" s="6"/>
      <c r="AD115" s="6"/>
      <c r="AE115" s="6"/>
      <c r="AF115" s="6"/>
      <c r="AG115" s="6"/>
      <c r="AH115" s="6"/>
    </row>
    <row r="116" spans="2:34" ht="12.75">
      <c r="B116" s="6"/>
      <c r="C116" s="6"/>
      <c r="D116" s="6"/>
      <c r="E116" s="6"/>
      <c r="F116" s="6"/>
      <c r="G116" s="6"/>
      <c r="H116" s="6"/>
      <c r="I116" s="6"/>
      <c r="J116" s="6"/>
      <c r="K116" s="21"/>
      <c r="L116" s="6"/>
      <c r="M116" s="6"/>
      <c r="N116" s="21"/>
      <c r="O116" s="6"/>
      <c r="P116" s="6"/>
      <c r="Q116" s="6"/>
      <c r="R116" s="6"/>
      <c r="S116" s="6"/>
      <c r="T116" s="21"/>
      <c r="U116" s="21"/>
      <c r="V116" s="6"/>
      <c r="W116" s="6"/>
      <c r="X116" s="6"/>
      <c r="Y116" s="21"/>
      <c r="Z116" s="21"/>
      <c r="AA116" s="21"/>
      <c r="AB116" s="21"/>
      <c r="AC116" s="6"/>
      <c r="AD116" s="6"/>
      <c r="AE116" s="6"/>
      <c r="AF116" s="6"/>
      <c r="AG116" s="6"/>
      <c r="AH116" s="6"/>
    </row>
    <row r="117" spans="2:34" ht="12.75">
      <c r="B117" s="6"/>
      <c r="C117" s="6"/>
      <c r="D117" s="6"/>
      <c r="E117" s="6"/>
      <c r="F117" s="6"/>
      <c r="G117" s="6"/>
      <c r="H117" s="6"/>
      <c r="I117" s="6"/>
      <c r="J117" s="6"/>
      <c r="K117" s="21"/>
      <c r="L117" s="6"/>
      <c r="M117" s="6"/>
      <c r="N117" s="21"/>
      <c r="O117" s="6"/>
      <c r="P117" s="6"/>
      <c r="Q117" s="6"/>
      <c r="R117" s="6"/>
      <c r="S117" s="6"/>
      <c r="T117" s="21"/>
      <c r="U117" s="21"/>
      <c r="V117" s="6"/>
      <c r="W117" s="6"/>
      <c r="X117" s="6"/>
      <c r="Y117" s="21"/>
      <c r="Z117" s="21"/>
      <c r="AA117" s="21"/>
      <c r="AB117" s="21"/>
      <c r="AC117" s="6"/>
      <c r="AD117" s="6"/>
      <c r="AE117" s="6"/>
      <c r="AF117" s="6"/>
      <c r="AG117" s="6"/>
      <c r="AH117" s="6"/>
    </row>
    <row r="118" spans="2:34" ht="12.75">
      <c r="B118" s="6"/>
      <c r="C118" s="6"/>
      <c r="D118" s="6"/>
      <c r="E118" s="6"/>
      <c r="F118" s="6"/>
      <c r="G118" s="6"/>
      <c r="H118" s="6"/>
      <c r="I118" s="6"/>
      <c r="J118" s="6"/>
      <c r="K118" s="21"/>
      <c r="L118" s="6"/>
      <c r="M118" s="6"/>
      <c r="N118" s="21"/>
      <c r="O118" s="6"/>
      <c r="P118" s="6"/>
      <c r="Q118" s="6"/>
      <c r="R118" s="6"/>
      <c r="S118" s="6"/>
      <c r="T118" s="21"/>
      <c r="U118" s="21"/>
      <c r="V118" s="6"/>
      <c r="W118" s="6"/>
      <c r="X118" s="6"/>
      <c r="Y118" s="21"/>
      <c r="Z118" s="21"/>
      <c r="AA118" s="21"/>
      <c r="AB118" s="21"/>
      <c r="AC118" s="6"/>
      <c r="AD118" s="6"/>
      <c r="AE118" s="6"/>
      <c r="AF118" s="6"/>
      <c r="AG118" s="6"/>
      <c r="AH118" s="6"/>
    </row>
    <row r="119" spans="2:34" ht="12.75">
      <c r="B119" s="6"/>
      <c r="C119" s="6"/>
      <c r="D119" s="6"/>
      <c r="E119" s="6"/>
      <c r="F119" s="6"/>
      <c r="G119" s="6"/>
      <c r="H119" s="6"/>
      <c r="I119" s="6"/>
      <c r="J119" s="6"/>
      <c r="K119" s="21"/>
      <c r="L119" s="6"/>
      <c r="M119" s="6"/>
      <c r="N119" s="21"/>
      <c r="O119" s="6"/>
      <c r="P119" s="6"/>
      <c r="Q119" s="6"/>
      <c r="R119" s="6"/>
      <c r="S119" s="6"/>
      <c r="T119" s="21"/>
      <c r="U119" s="21"/>
      <c r="V119" s="6"/>
      <c r="W119" s="6"/>
      <c r="X119" s="6"/>
      <c r="Y119" s="21"/>
      <c r="Z119" s="21"/>
      <c r="AA119" s="21"/>
      <c r="AB119" s="21"/>
      <c r="AC119" s="6"/>
      <c r="AD119" s="6"/>
      <c r="AE119" s="6"/>
      <c r="AF119" s="6"/>
      <c r="AG119" s="6"/>
      <c r="AH119" s="6"/>
    </row>
    <row r="120" spans="2:34" ht="12.75">
      <c r="B120" s="6"/>
      <c r="C120" s="6"/>
      <c r="D120" s="6"/>
      <c r="E120" s="6"/>
      <c r="F120" s="6"/>
      <c r="G120" s="6"/>
      <c r="H120" s="6"/>
      <c r="I120" s="6"/>
      <c r="J120" s="6"/>
      <c r="K120" s="21"/>
      <c r="L120" s="6"/>
      <c r="M120" s="6"/>
      <c r="N120" s="21"/>
      <c r="O120" s="6"/>
      <c r="P120" s="6"/>
      <c r="Q120" s="6"/>
      <c r="R120" s="6"/>
      <c r="S120" s="6"/>
      <c r="T120" s="21"/>
      <c r="U120" s="21"/>
      <c r="V120" s="6"/>
      <c r="W120" s="6"/>
      <c r="X120" s="6"/>
      <c r="Y120" s="21"/>
      <c r="Z120" s="21"/>
      <c r="AA120" s="21"/>
      <c r="AB120" s="21"/>
      <c r="AC120" s="6"/>
      <c r="AD120" s="6"/>
      <c r="AE120" s="6"/>
      <c r="AF120" s="6"/>
      <c r="AG120" s="6"/>
      <c r="AH120" s="6"/>
    </row>
    <row r="121" spans="2:34" ht="12.75">
      <c r="B121" s="6"/>
      <c r="C121" s="6"/>
      <c r="D121" s="6"/>
      <c r="E121" s="6"/>
      <c r="F121" s="6"/>
      <c r="G121" s="6"/>
      <c r="H121" s="6"/>
      <c r="I121" s="6"/>
      <c r="J121" s="6"/>
      <c r="K121" s="21"/>
      <c r="L121" s="6"/>
      <c r="M121" s="6"/>
      <c r="N121" s="21"/>
      <c r="O121" s="6"/>
      <c r="P121" s="6"/>
      <c r="Q121" s="6"/>
      <c r="R121" s="6"/>
      <c r="S121" s="6"/>
      <c r="T121" s="21"/>
      <c r="U121" s="21"/>
      <c r="V121" s="6"/>
      <c r="W121" s="6"/>
      <c r="X121" s="6"/>
      <c r="Y121" s="21"/>
      <c r="Z121" s="21"/>
      <c r="AA121" s="21"/>
      <c r="AB121" s="21"/>
      <c r="AC121" s="6"/>
      <c r="AD121" s="6"/>
      <c r="AE121" s="6"/>
      <c r="AF121" s="6"/>
      <c r="AG121" s="6"/>
      <c r="AH121" s="6"/>
    </row>
    <row r="122" spans="2:34" ht="12.75">
      <c r="B122" s="6"/>
      <c r="C122" s="6"/>
      <c r="D122" s="6"/>
      <c r="E122" s="6"/>
      <c r="F122" s="6"/>
      <c r="G122" s="6"/>
      <c r="H122" s="6"/>
      <c r="I122" s="6"/>
      <c r="J122" s="6"/>
      <c r="K122" s="21"/>
      <c r="L122" s="6"/>
      <c r="M122" s="6"/>
      <c r="N122" s="21"/>
      <c r="O122" s="6"/>
      <c r="P122" s="6"/>
      <c r="Q122" s="6"/>
      <c r="R122" s="6"/>
      <c r="S122" s="6"/>
      <c r="T122" s="21"/>
      <c r="U122" s="21"/>
      <c r="V122" s="6"/>
      <c r="W122" s="6"/>
      <c r="X122" s="6"/>
      <c r="Y122" s="21"/>
      <c r="Z122" s="21"/>
      <c r="AA122" s="21"/>
      <c r="AB122" s="21"/>
      <c r="AC122" s="6"/>
      <c r="AD122" s="6"/>
      <c r="AE122" s="6"/>
      <c r="AF122" s="6"/>
      <c r="AG122" s="6"/>
      <c r="AH122" s="6"/>
    </row>
    <row r="123" spans="2:34" ht="12.75">
      <c r="B123" s="6"/>
      <c r="C123" s="6"/>
      <c r="D123" s="6"/>
      <c r="E123" s="6"/>
      <c r="F123" s="6"/>
      <c r="G123" s="6"/>
      <c r="H123" s="6"/>
      <c r="I123" s="6"/>
      <c r="J123" s="6"/>
      <c r="K123" s="21"/>
      <c r="L123" s="6"/>
      <c r="M123" s="6"/>
      <c r="N123" s="21"/>
      <c r="O123" s="6"/>
      <c r="P123" s="6"/>
      <c r="Q123" s="6"/>
      <c r="R123" s="6"/>
      <c r="S123" s="6"/>
      <c r="T123" s="21"/>
      <c r="U123" s="21"/>
      <c r="V123" s="6"/>
      <c r="W123" s="6"/>
      <c r="X123" s="6"/>
      <c r="Y123" s="21"/>
      <c r="Z123" s="21"/>
      <c r="AA123" s="21"/>
      <c r="AB123" s="21"/>
      <c r="AC123" s="6"/>
      <c r="AD123" s="6"/>
      <c r="AE123" s="6"/>
      <c r="AF123" s="6"/>
      <c r="AG123" s="6"/>
      <c r="AH123" s="6"/>
    </row>
    <row r="124" spans="2:34" ht="12.75">
      <c r="B124" s="6"/>
      <c r="C124" s="6"/>
      <c r="D124" s="6"/>
      <c r="E124" s="6"/>
      <c r="F124" s="6"/>
      <c r="G124" s="6"/>
      <c r="H124" s="6"/>
      <c r="I124" s="6"/>
      <c r="J124" s="6"/>
      <c r="K124" s="21"/>
      <c r="L124" s="6"/>
      <c r="M124" s="6"/>
      <c r="N124" s="21"/>
      <c r="O124" s="6"/>
      <c r="P124" s="6"/>
      <c r="Q124" s="6"/>
      <c r="R124" s="6"/>
      <c r="S124" s="6"/>
      <c r="T124" s="21"/>
      <c r="U124" s="21"/>
      <c r="V124" s="6"/>
      <c r="W124" s="6"/>
      <c r="X124" s="6"/>
      <c r="Y124" s="21"/>
      <c r="Z124" s="21"/>
      <c r="AA124" s="21"/>
      <c r="AB124" s="21"/>
      <c r="AC124" s="6"/>
      <c r="AD124" s="6"/>
      <c r="AE124" s="6"/>
      <c r="AF124" s="6"/>
      <c r="AG124" s="6"/>
      <c r="AH124" s="6"/>
    </row>
    <row r="125" spans="2:34" ht="12.75">
      <c r="B125" s="6"/>
      <c r="C125" s="6"/>
      <c r="D125" s="6"/>
      <c r="E125" s="6"/>
      <c r="F125" s="6"/>
      <c r="G125" s="6"/>
      <c r="H125" s="6"/>
      <c r="I125" s="6"/>
      <c r="J125" s="6"/>
      <c r="K125" s="21"/>
      <c r="L125" s="6"/>
      <c r="M125" s="6"/>
      <c r="N125" s="21"/>
      <c r="O125" s="6"/>
      <c r="P125" s="6"/>
      <c r="Q125" s="6"/>
      <c r="R125" s="6"/>
      <c r="S125" s="6"/>
      <c r="T125" s="21"/>
      <c r="U125" s="21"/>
      <c r="V125" s="6"/>
      <c r="W125" s="6"/>
      <c r="X125" s="6"/>
      <c r="Y125" s="21"/>
      <c r="Z125" s="21"/>
      <c r="AA125" s="21"/>
      <c r="AB125" s="21"/>
      <c r="AC125" s="6"/>
      <c r="AD125" s="6"/>
      <c r="AE125" s="6"/>
      <c r="AF125" s="6"/>
      <c r="AG125" s="6"/>
      <c r="AH125" s="6"/>
    </row>
    <row r="126" spans="2:34" ht="12.75">
      <c r="B126" s="6"/>
      <c r="C126" s="6"/>
      <c r="D126" s="6"/>
      <c r="E126" s="6"/>
      <c r="F126" s="6"/>
      <c r="G126" s="6"/>
      <c r="H126" s="6"/>
      <c r="I126" s="6"/>
      <c r="J126" s="6"/>
      <c r="K126" s="21"/>
      <c r="L126" s="6"/>
      <c r="M126" s="6"/>
      <c r="N126" s="21"/>
      <c r="O126" s="6"/>
      <c r="P126" s="6"/>
      <c r="Q126" s="6"/>
      <c r="R126" s="6"/>
      <c r="S126" s="6"/>
      <c r="T126" s="21"/>
      <c r="U126" s="21"/>
      <c r="V126" s="6"/>
      <c r="W126" s="6"/>
      <c r="X126" s="6"/>
      <c r="Y126" s="21"/>
      <c r="Z126" s="21"/>
      <c r="AA126" s="21"/>
      <c r="AB126" s="21"/>
      <c r="AC126" s="6"/>
      <c r="AD126" s="6"/>
      <c r="AE126" s="6"/>
      <c r="AF126" s="6"/>
      <c r="AG126" s="6"/>
      <c r="AH126" s="6"/>
    </row>
    <row r="127" spans="2:34" ht="12.75">
      <c r="B127" s="6"/>
      <c r="C127" s="6"/>
      <c r="D127" s="6"/>
      <c r="E127" s="6"/>
      <c r="F127" s="6"/>
      <c r="G127" s="6"/>
      <c r="H127" s="6"/>
      <c r="I127" s="6"/>
      <c r="J127" s="6"/>
      <c r="K127" s="21"/>
      <c r="L127" s="6"/>
      <c r="M127" s="6"/>
      <c r="N127" s="21"/>
      <c r="O127" s="6"/>
      <c r="P127" s="6"/>
      <c r="Q127" s="6"/>
      <c r="R127" s="6"/>
      <c r="S127" s="6"/>
      <c r="T127" s="21"/>
      <c r="U127" s="21"/>
      <c r="V127" s="6"/>
      <c r="W127" s="6"/>
      <c r="X127" s="6"/>
      <c r="Y127" s="21"/>
      <c r="Z127" s="21"/>
      <c r="AA127" s="21"/>
      <c r="AB127" s="21"/>
      <c r="AC127" s="6"/>
      <c r="AD127" s="6"/>
      <c r="AE127" s="6"/>
      <c r="AF127" s="6"/>
      <c r="AG127" s="6"/>
      <c r="AH127" s="6"/>
    </row>
    <row r="128" spans="2:34" ht="12.75">
      <c r="B128" s="6"/>
      <c r="C128" s="6"/>
      <c r="D128" s="6"/>
      <c r="E128" s="6"/>
      <c r="F128" s="6"/>
      <c r="G128" s="6"/>
      <c r="H128" s="6"/>
      <c r="I128" s="6"/>
      <c r="J128" s="6"/>
      <c r="K128" s="21"/>
      <c r="L128" s="6"/>
      <c r="M128" s="6"/>
      <c r="N128" s="21"/>
      <c r="O128" s="6"/>
      <c r="P128" s="6"/>
      <c r="Q128" s="6"/>
      <c r="R128" s="6"/>
      <c r="S128" s="6"/>
      <c r="T128" s="21"/>
      <c r="U128" s="21"/>
      <c r="V128" s="6"/>
      <c r="W128" s="6"/>
      <c r="X128" s="6"/>
      <c r="Y128" s="21"/>
      <c r="Z128" s="21"/>
      <c r="AA128" s="21"/>
      <c r="AB128" s="21"/>
      <c r="AC128" s="6"/>
      <c r="AD128" s="6"/>
      <c r="AE128" s="6"/>
      <c r="AF128" s="6"/>
      <c r="AG128" s="6"/>
      <c r="AH128" s="6"/>
    </row>
    <row r="129" spans="2:34" ht="12.75">
      <c r="B129" s="6"/>
      <c r="C129" s="6"/>
      <c r="D129" s="6"/>
      <c r="E129" s="6"/>
      <c r="F129" s="6"/>
      <c r="G129" s="6"/>
      <c r="H129" s="6"/>
      <c r="I129" s="6"/>
      <c r="J129" s="6"/>
      <c r="K129" s="21"/>
      <c r="L129" s="6"/>
      <c r="M129" s="6"/>
      <c r="N129" s="21"/>
      <c r="O129" s="6"/>
      <c r="P129" s="6"/>
      <c r="Q129" s="6"/>
      <c r="R129" s="6"/>
      <c r="S129" s="6"/>
      <c r="T129" s="21"/>
      <c r="U129" s="21"/>
      <c r="V129" s="6"/>
      <c r="W129" s="6"/>
      <c r="X129" s="6"/>
      <c r="Y129" s="21"/>
      <c r="Z129" s="21"/>
      <c r="AA129" s="21"/>
      <c r="AB129" s="21"/>
      <c r="AC129" s="6"/>
      <c r="AD129" s="6"/>
      <c r="AE129" s="6"/>
      <c r="AF129" s="6"/>
      <c r="AG129" s="6"/>
      <c r="AH129" s="6"/>
    </row>
    <row r="130" spans="2:34" ht="12.75">
      <c r="B130" s="6"/>
      <c r="C130" s="6"/>
      <c r="D130" s="6"/>
      <c r="E130" s="6"/>
      <c r="F130" s="6"/>
      <c r="G130" s="6"/>
      <c r="H130" s="6"/>
      <c r="I130" s="6"/>
      <c r="J130" s="6"/>
      <c r="K130" s="21"/>
      <c r="L130" s="6"/>
      <c r="M130" s="6"/>
      <c r="N130" s="21"/>
      <c r="O130" s="6"/>
      <c r="P130" s="6"/>
      <c r="Q130" s="6"/>
      <c r="R130" s="6"/>
      <c r="S130" s="6"/>
      <c r="T130" s="21"/>
      <c r="U130" s="21"/>
      <c r="V130" s="6"/>
      <c r="W130" s="6"/>
      <c r="X130" s="6"/>
      <c r="Y130" s="21"/>
      <c r="Z130" s="21"/>
      <c r="AA130" s="21"/>
      <c r="AB130" s="21"/>
      <c r="AC130" s="6"/>
      <c r="AD130" s="6"/>
      <c r="AE130" s="6"/>
      <c r="AF130" s="6"/>
      <c r="AG130" s="6"/>
      <c r="AH130" s="6"/>
    </row>
    <row r="131" spans="2:34" ht="12.75">
      <c r="B131" s="6"/>
      <c r="C131" s="6"/>
      <c r="D131" s="6"/>
      <c r="E131" s="6"/>
      <c r="F131" s="6"/>
      <c r="G131" s="6"/>
      <c r="H131" s="6"/>
      <c r="I131" s="6"/>
      <c r="J131" s="6"/>
      <c r="K131" s="21"/>
      <c r="L131" s="6"/>
      <c r="M131" s="6"/>
      <c r="N131" s="21"/>
      <c r="O131" s="6"/>
      <c r="P131" s="6"/>
      <c r="Q131" s="6"/>
      <c r="R131" s="6"/>
      <c r="S131" s="6"/>
      <c r="T131" s="21"/>
      <c r="U131" s="21"/>
      <c r="V131" s="6"/>
      <c r="W131" s="6"/>
      <c r="X131" s="6"/>
      <c r="Y131" s="21"/>
      <c r="Z131" s="21"/>
      <c r="AA131" s="21"/>
      <c r="AB131" s="21"/>
      <c r="AC131" s="6"/>
      <c r="AD131" s="6"/>
      <c r="AE131" s="6"/>
      <c r="AF131" s="6"/>
      <c r="AG131" s="6"/>
      <c r="AH131" s="6"/>
    </row>
    <row r="132" spans="2:34" ht="12.75">
      <c r="B132" s="6"/>
      <c r="C132" s="6"/>
      <c r="D132" s="6"/>
      <c r="E132" s="6"/>
      <c r="F132" s="6"/>
      <c r="G132" s="6"/>
      <c r="H132" s="6"/>
      <c r="I132" s="6"/>
      <c r="J132" s="6"/>
      <c r="K132" s="21"/>
      <c r="L132" s="6"/>
      <c r="M132" s="6"/>
      <c r="N132" s="21"/>
      <c r="O132" s="6"/>
      <c r="P132" s="6"/>
      <c r="Q132" s="6"/>
      <c r="R132" s="6"/>
      <c r="S132" s="6"/>
      <c r="T132" s="21"/>
      <c r="U132" s="21"/>
      <c r="V132" s="6"/>
      <c r="W132" s="6"/>
      <c r="X132" s="6"/>
      <c r="Y132" s="21"/>
      <c r="Z132" s="21"/>
      <c r="AA132" s="21"/>
      <c r="AB132" s="21"/>
      <c r="AC132" s="6"/>
      <c r="AD132" s="6"/>
      <c r="AE132" s="6"/>
      <c r="AF132" s="6"/>
      <c r="AG132" s="6"/>
      <c r="AH132" s="6"/>
    </row>
    <row r="133" spans="2:34" ht="12.75">
      <c r="B133" s="6"/>
      <c r="C133" s="6"/>
      <c r="D133" s="6"/>
      <c r="E133" s="6"/>
      <c r="F133" s="6"/>
      <c r="G133" s="6"/>
      <c r="H133" s="6"/>
      <c r="I133" s="6"/>
      <c r="J133" s="6"/>
      <c r="K133" s="21"/>
      <c r="L133" s="6"/>
      <c r="M133" s="6"/>
      <c r="N133" s="21"/>
      <c r="O133" s="6"/>
      <c r="P133" s="6"/>
      <c r="Q133" s="6"/>
      <c r="R133" s="6"/>
      <c r="S133" s="6"/>
      <c r="T133" s="21"/>
      <c r="U133" s="21"/>
      <c r="V133" s="6"/>
      <c r="W133" s="6"/>
      <c r="X133" s="6"/>
      <c r="Y133" s="21"/>
      <c r="Z133" s="21"/>
      <c r="AA133" s="21"/>
      <c r="AB133" s="21"/>
      <c r="AC133" s="6"/>
      <c r="AD133" s="6"/>
      <c r="AE133" s="6"/>
      <c r="AF133" s="6"/>
      <c r="AG133" s="6"/>
      <c r="AH133" s="6"/>
    </row>
    <row r="134" spans="2:34" ht="12.75">
      <c r="B134" s="6"/>
      <c r="C134" s="6"/>
      <c r="D134" s="6"/>
      <c r="E134" s="6"/>
      <c r="F134" s="6"/>
      <c r="G134" s="6"/>
      <c r="H134" s="6"/>
      <c r="I134" s="6"/>
      <c r="J134" s="6"/>
      <c r="K134" s="21"/>
      <c r="L134" s="6"/>
      <c r="M134" s="6"/>
      <c r="N134" s="21"/>
      <c r="O134" s="6"/>
      <c r="P134" s="6"/>
      <c r="Q134" s="6"/>
      <c r="R134" s="6"/>
      <c r="S134" s="6"/>
      <c r="T134" s="21"/>
      <c r="U134" s="21"/>
      <c r="V134" s="6"/>
      <c r="W134" s="6"/>
      <c r="X134" s="6"/>
      <c r="Y134" s="21"/>
      <c r="Z134" s="21"/>
      <c r="AA134" s="21"/>
      <c r="AB134" s="21"/>
      <c r="AC134" s="6"/>
      <c r="AD134" s="6"/>
      <c r="AE134" s="6"/>
      <c r="AF134" s="6"/>
      <c r="AG134" s="6"/>
      <c r="AH134" s="6"/>
    </row>
    <row r="135" spans="2:34" ht="12.75">
      <c r="B135" s="6"/>
      <c r="C135" s="6"/>
      <c r="D135" s="6"/>
      <c r="E135" s="6"/>
      <c r="F135" s="6"/>
      <c r="G135" s="6"/>
      <c r="H135" s="6"/>
      <c r="I135" s="6"/>
      <c r="J135" s="6"/>
      <c r="K135" s="21"/>
      <c r="L135" s="6"/>
      <c r="M135" s="6"/>
      <c r="N135" s="21"/>
      <c r="O135" s="6"/>
      <c r="P135" s="6"/>
      <c r="Q135" s="6"/>
      <c r="R135" s="6"/>
      <c r="S135" s="6"/>
      <c r="T135" s="21"/>
      <c r="U135" s="21"/>
      <c r="V135" s="6"/>
      <c r="W135" s="6"/>
      <c r="X135" s="6"/>
      <c r="Y135" s="21"/>
      <c r="Z135" s="21"/>
      <c r="AA135" s="21"/>
      <c r="AB135" s="21"/>
      <c r="AC135" s="6"/>
      <c r="AD135" s="6"/>
      <c r="AE135" s="6"/>
      <c r="AF135" s="6"/>
      <c r="AG135" s="6"/>
      <c r="AH135" s="6"/>
    </row>
    <row r="136" spans="2:34" ht="12.75">
      <c r="B136" s="6"/>
      <c r="C136" s="6"/>
      <c r="D136" s="6"/>
      <c r="E136" s="6"/>
      <c r="F136" s="6"/>
      <c r="G136" s="6"/>
      <c r="H136" s="6"/>
      <c r="I136" s="6"/>
      <c r="J136" s="6"/>
      <c r="K136" s="21"/>
      <c r="L136" s="6"/>
      <c r="M136" s="6"/>
      <c r="N136" s="21"/>
      <c r="O136" s="6"/>
      <c r="P136" s="6"/>
      <c r="Q136" s="6"/>
      <c r="R136" s="6"/>
      <c r="S136" s="6"/>
      <c r="T136" s="21"/>
      <c r="U136" s="21"/>
      <c r="V136" s="6"/>
      <c r="W136" s="6"/>
      <c r="X136" s="6"/>
      <c r="Y136" s="21"/>
      <c r="Z136" s="21"/>
      <c r="AA136" s="21"/>
      <c r="AB136" s="21"/>
      <c r="AC136" s="6"/>
      <c r="AD136" s="6"/>
      <c r="AE136" s="6"/>
      <c r="AF136" s="6"/>
      <c r="AG136" s="6"/>
      <c r="AH136" s="6"/>
    </row>
    <row r="137" spans="2:34" ht="12.75">
      <c r="B137" s="6"/>
      <c r="C137" s="6"/>
      <c r="D137" s="6"/>
      <c r="E137" s="6"/>
      <c r="F137" s="6"/>
      <c r="G137" s="6"/>
      <c r="H137" s="6"/>
      <c r="I137" s="6"/>
      <c r="J137" s="6"/>
      <c r="K137" s="21"/>
      <c r="L137" s="6"/>
      <c r="M137" s="6"/>
      <c r="N137" s="21"/>
      <c r="O137" s="6"/>
      <c r="P137" s="6"/>
      <c r="Q137" s="6"/>
      <c r="R137" s="6"/>
      <c r="S137" s="6"/>
      <c r="T137" s="21"/>
      <c r="U137" s="21"/>
      <c r="V137" s="6"/>
      <c r="W137" s="6"/>
      <c r="X137" s="6"/>
      <c r="Y137" s="21"/>
      <c r="Z137" s="21"/>
      <c r="AA137" s="21"/>
      <c r="AB137" s="21"/>
      <c r="AC137" s="6"/>
      <c r="AD137" s="6"/>
      <c r="AE137" s="6"/>
      <c r="AF137" s="6"/>
      <c r="AG137" s="6"/>
      <c r="AH137" s="6"/>
    </row>
    <row r="138" spans="2:34" ht="12.75">
      <c r="B138" s="6"/>
      <c r="C138" s="6"/>
      <c r="D138" s="6"/>
      <c r="E138" s="6"/>
      <c r="F138" s="6"/>
      <c r="G138" s="6"/>
      <c r="H138" s="6"/>
      <c r="I138" s="6"/>
      <c r="J138" s="6"/>
      <c r="K138" s="21"/>
      <c r="L138" s="6"/>
      <c r="M138" s="6"/>
      <c r="N138" s="21"/>
      <c r="O138" s="6"/>
      <c r="P138" s="6"/>
      <c r="Q138" s="6"/>
      <c r="R138" s="6"/>
      <c r="S138" s="6"/>
      <c r="T138" s="21"/>
      <c r="U138" s="21"/>
      <c r="V138" s="6"/>
      <c r="W138" s="6"/>
      <c r="X138" s="6"/>
      <c r="Y138" s="21"/>
      <c r="Z138" s="21"/>
      <c r="AA138" s="21"/>
      <c r="AB138" s="21"/>
      <c r="AC138" s="6"/>
      <c r="AD138" s="6"/>
      <c r="AE138" s="6"/>
      <c r="AF138" s="6"/>
      <c r="AG138" s="6"/>
      <c r="AH138" s="6"/>
    </row>
    <row r="179" spans="20:27" ht="12.75">
      <c r="T179" s="26"/>
      <c r="U179" s="26"/>
      <c r="V179" s="27"/>
      <c r="W179" s="27"/>
      <c r="X179" s="27"/>
      <c r="Y179" s="26"/>
      <c r="Z179" s="26"/>
      <c r="AA179" s="26"/>
    </row>
    <row r="180" spans="20:27" ht="12.75">
      <c r="T180" s="26"/>
      <c r="U180" s="26"/>
      <c r="V180" s="27"/>
      <c r="W180" s="27"/>
      <c r="X180" s="27"/>
      <c r="Y180" s="26"/>
      <c r="Z180" s="26"/>
      <c r="AA180" s="26"/>
    </row>
    <row r="181" spans="20:27" ht="12.75">
      <c r="T181" s="26"/>
      <c r="U181" s="26"/>
      <c r="V181" s="27"/>
      <c r="W181" s="27"/>
      <c r="X181" s="27"/>
      <c r="Y181" s="26"/>
      <c r="Z181" s="26"/>
      <c r="AA181" s="26"/>
    </row>
    <row r="182" spans="20:27" ht="12.75">
      <c r="T182" s="26"/>
      <c r="U182" s="26"/>
      <c r="V182" s="27"/>
      <c r="W182" s="27"/>
      <c r="X182" s="27"/>
      <c r="Y182" s="26"/>
      <c r="Z182" s="26"/>
      <c r="AA182" s="26"/>
    </row>
    <row r="183" spans="20:27" ht="12.75">
      <c r="T183" s="26"/>
      <c r="U183" s="26"/>
      <c r="V183" s="27"/>
      <c r="W183" s="27"/>
      <c r="X183" s="27"/>
      <c r="Y183" s="26"/>
      <c r="Z183" s="26"/>
      <c r="AA183" s="26"/>
    </row>
    <row r="184" spans="20:27" ht="12.75">
      <c r="T184" s="26"/>
      <c r="U184" s="26"/>
      <c r="V184" s="27"/>
      <c r="W184" s="27"/>
      <c r="X184" s="27"/>
      <c r="Y184" s="26"/>
      <c r="Z184" s="26"/>
      <c r="AA184" s="26"/>
    </row>
    <row r="185" spans="20:27" ht="12.75">
      <c r="T185" s="26"/>
      <c r="U185" s="26"/>
      <c r="V185" s="27"/>
      <c r="W185" s="27"/>
      <c r="X185" s="27"/>
      <c r="Y185" s="26"/>
      <c r="Z185" s="26"/>
      <c r="AA185" s="26"/>
    </row>
    <row r="186" spans="20:27" ht="12.75">
      <c r="T186" s="26"/>
      <c r="U186" s="26"/>
      <c r="V186" s="27"/>
      <c r="W186" s="27"/>
      <c r="X186" s="27"/>
      <c r="Y186" s="26"/>
      <c r="Z186" s="26"/>
      <c r="AA186" s="26"/>
    </row>
  </sheetData>
  <sheetProtection/>
  <mergeCells count="2">
    <mergeCell ref="A1:AH1"/>
    <mergeCell ref="A2:AH2"/>
  </mergeCells>
  <conditionalFormatting sqref="AH9:AH100">
    <cfRule type="cellIs" priority="1" dxfId="8" operator="lessThan" stopIfTrue="1">
      <formula>0</formula>
    </cfRule>
  </conditionalFormatting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2019-07-05T11:45:00Z</cp:lastPrinted>
  <dcterms:created xsi:type="dcterms:W3CDTF">2002-11-05T08:53:00Z</dcterms:created>
  <dcterms:modified xsi:type="dcterms:W3CDTF">2019-07-16T08:35:51Z</dcterms:modified>
  <cp:category/>
  <cp:version/>
  <cp:contentType/>
  <cp:contentStatus/>
</cp:coreProperties>
</file>